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codeName="ThisWorkbook" defaultThemeVersion="153222"/>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0" yWindow="0" windowWidth="14370" windowHeight="7980" firstSheet="9" activeTab="11"/>
  </bookViews>
  <sheets>
    <sheet name="Info" sheetId="1" r:id="rId1"/>
    <sheet name="Data Summary" sheetId="2" r:id="rId2"/>
    <sheet name="PS" sheetId="12" r:id="rId3"/>
    <sheet name="Reference Source Info" sheetId="4" r:id="rId4"/>
    <sheet name="DQI" sheetId="5" r:id="rId5"/>
    <sheet name="Concrete Mix" sheetId="11" r:id="rId6"/>
    <sheet name="Plant Operations" sheetId="10" r:id="rId7"/>
    <sheet name="portland cement" sheetId="15" r:id="rId8"/>
    <sheet name="Aggregate" sheetId="14" r:id="rId9"/>
    <sheet name="Admixture" sheetId="13" r:id="rId10"/>
    <sheet name="Transport" sheetId="18" r:id="rId11"/>
    <sheet name="Concrete Name Translation" sheetId="21" r:id="rId12"/>
    <sheet name="Conversions" sheetId="17" r:id="rId13"/>
    <sheet name="Assumptions" sheetId="8" r:id="rId14"/>
    <sheet name="Chart" sheetId="19" r:id="rId15"/>
    <sheet name="GaBi 6 Import" sheetId="20" r:id="rId16"/>
  </sheets>
  <calcPr calcId="171027"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5" l="1"/>
  <c r="L3" i="15"/>
  <c r="M3" i="15"/>
  <c r="K3" i="15"/>
  <c r="E3" i="15"/>
  <c r="F3" i="15"/>
  <c r="G3" i="15"/>
  <c r="H3" i="15"/>
  <c r="I3" i="15"/>
  <c r="J3" i="15"/>
  <c r="D3" i="15"/>
  <c r="D230" i="12"/>
  <c r="D231" i="12"/>
  <c r="D232" i="12"/>
  <c r="D233" i="12"/>
  <c r="D234" i="12"/>
  <c r="D235" i="12"/>
  <c r="D236" i="12"/>
  <c r="D237" i="12"/>
  <c r="D238" i="12"/>
  <c r="D239" i="12"/>
  <c r="D229" i="12"/>
  <c r="P8" i="12" l="1"/>
  <c r="P9" i="12"/>
  <c r="P10" i="12"/>
  <c r="P11" i="12"/>
  <c r="P12" i="12"/>
  <c r="P13" i="12"/>
  <c r="P14" i="12"/>
  <c r="P15" i="12"/>
  <c r="P16" i="12"/>
  <c r="O118" i="2" l="1"/>
  <c r="O101" i="2"/>
  <c r="O102" i="2"/>
  <c r="O103" i="2"/>
  <c r="O104" i="2"/>
  <c r="O105" i="2"/>
  <c r="O106" i="2"/>
  <c r="O107" i="2"/>
  <c r="O108" i="2"/>
  <c r="O109" i="2"/>
  <c r="O110" i="2"/>
  <c r="O100" i="2"/>
  <c r="B74" i="2"/>
  <c r="B94" i="2"/>
  <c r="P24" i="12"/>
  <c r="P18" i="12"/>
  <c r="P19" i="12"/>
  <c r="P20" i="12"/>
  <c r="P21" i="12"/>
  <c r="P22" i="12"/>
  <c r="K23" i="12"/>
  <c r="P23" i="12"/>
  <c r="P7" i="12"/>
  <c r="P17" i="12"/>
  <c r="B17" i="12"/>
  <c r="B18" i="12"/>
  <c r="B19" i="12"/>
  <c r="B20" i="12"/>
  <c r="B21" i="12"/>
  <c r="B22" i="12"/>
  <c r="B23" i="12"/>
  <c r="B24" i="12"/>
  <c r="A5" i="12"/>
  <c r="A6" i="12" s="1"/>
  <c r="A7" i="12" s="1"/>
  <c r="E8" i="12"/>
  <c r="E16" i="12"/>
  <c r="F8" i="12"/>
  <c r="F17" i="12" s="1"/>
  <c r="F16" i="12"/>
  <c r="G8" i="12"/>
  <c r="G17" i="12" s="1"/>
  <c r="G16" i="12"/>
  <c r="H8" i="12"/>
  <c r="H17" i="12" s="1"/>
  <c r="H16" i="12"/>
  <c r="I8" i="12"/>
  <c r="I17" i="12" s="1"/>
  <c r="I16" i="12"/>
  <c r="J8" i="12"/>
  <c r="J16" i="12"/>
  <c r="K8" i="12"/>
  <c r="K17" i="12" s="1"/>
  <c r="K16" i="12"/>
  <c r="L8" i="12"/>
  <c r="L17" i="12" s="1"/>
  <c r="L16" i="12"/>
  <c r="M8" i="12"/>
  <c r="M17" i="12" s="1"/>
  <c r="M16" i="12"/>
  <c r="N8" i="12"/>
  <c r="N17" i="12" s="1"/>
  <c r="N16" i="12"/>
  <c r="O8" i="12"/>
  <c r="O17" i="12" s="1"/>
  <c r="O16" i="12"/>
  <c r="E15" i="12"/>
  <c r="E24" i="12" s="1"/>
  <c r="N70" i="15"/>
  <c r="O70" i="15"/>
  <c r="P70" i="15"/>
  <c r="Q70" i="15"/>
  <c r="R70" i="15"/>
  <c r="S70" i="15"/>
  <c r="T70" i="15"/>
  <c r="U70" i="15"/>
  <c r="V70" i="15"/>
  <c r="W70" i="15"/>
  <c r="X70" i="15"/>
  <c r="N64" i="15"/>
  <c r="O64" i="15"/>
  <c r="P64" i="15"/>
  <c r="Q64" i="15"/>
  <c r="R64" i="15"/>
  <c r="S64" i="15"/>
  <c r="T64" i="15"/>
  <c r="U64" i="15"/>
  <c r="V64" i="15"/>
  <c r="W64" i="15"/>
  <c r="X64" i="15"/>
  <c r="N37" i="15"/>
  <c r="O37" i="15"/>
  <c r="P37" i="15"/>
  <c r="Q37" i="15"/>
  <c r="R37" i="15"/>
  <c r="S37" i="15"/>
  <c r="T37" i="15"/>
  <c r="U37" i="15"/>
  <c r="V37" i="15"/>
  <c r="W37" i="15"/>
  <c r="X37" i="15"/>
  <c r="N36" i="15"/>
  <c r="O36" i="15"/>
  <c r="P36" i="15"/>
  <c r="Q36" i="15"/>
  <c r="R36" i="15"/>
  <c r="S36" i="15"/>
  <c r="T36" i="15"/>
  <c r="U36" i="15"/>
  <c r="V36" i="15"/>
  <c r="W36" i="15"/>
  <c r="X36" i="15"/>
  <c r="N35" i="15"/>
  <c r="O35" i="15"/>
  <c r="P35" i="15"/>
  <c r="Q35" i="15"/>
  <c r="R35" i="15"/>
  <c r="S35" i="15"/>
  <c r="T35" i="15"/>
  <c r="U35" i="15"/>
  <c r="V35" i="15"/>
  <c r="W35" i="15"/>
  <c r="X35" i="15"/>
  <c r="N34" i="15"/>
  <c r="O34" i="15"/>
  <c r="P34" i="15"/>
  <c r="Q34" i="15"/>
  <c r="R34" i="15"/>
  <c r="S34" i="15"/>
  <c r="T34" i="15"/>
  <c r="U34" i="15"/>
  <c r="V34" i="15"/>
  <c r="W34" i="15"/>
  <c r="X34" i="15"/>
  <c r="N33" i="15"/>
  <c r="O33" i="15"/>
  <c r="P33" i="15"/>
  <c r="Q33" i="15"/>
  <c r="R33" i="15"/>
  <c r="S33" i="15"/>
  <c r="T33" i="15"/>
  <c r="U33" i="15"/>
  <c r="V33" i="15"/>
  <c r="W33" i="15"/>
  <c r="X33" i="15"/>
  <c r="N32" i="15"/>
  <c r="O32" i="15"/>
  <c r="P32" i="15"/>
  <c r="Q32" i="15"/>
  <c r="R32" i="15"/>
  <c r="S32" i="15"/>
  <c r="T32" i="15"/>
  <c r="U32" i="15"/>
  <c r="V32" i="15"/>
  <c r="W32" i="15"/>
  <c r="X32" i="15"/>
  <c r="N31" i="15"/>
  <c r="O31" i="15"/>
  <c r="P31" i="15"/>
  <c r="Q31" i="15"/>
  <c r="R31" i="15"/>
  <c r="S31" i="15"/>
  <c r="T31" i="15"/>
  <c r="U31" i="15"/>
  <c r="V31" i="15"/>
  <c r="W31" i="15"/>
  <c r="X31" i="15"/>
  <c r="N19" i="15"/>
  <c r="O19" i="15"/>
  <c r="P19" i="15"/>
  <c r="Q19" i="15"/>
  <c r="R19" i="15"/>
  <c r="S19" i="15"/>
  <c r="T19" i="15"/>
  <c r="U19" i="15"/>
  <c r="V19" i="15"/>
  <c r="W19" i="15"/>
  <c r="X19" i="15"/>
  <c r="N20" i="15"/>
  <c r="O20" i="15"/>
  <c r="P20" i="15"/>
  <c r="Q20" i="15"/>
  <c r="R20" i="15"/>
  <c r="S20" i="15"/>
  <c r="T20" i="15"/>
  <c r="U20" i="15"/>
  <c r="V20" i="15"/>
  <c r="W20" i="15"/>
  <c r="X20" i="15"/>
  <c r="N11" i="15"/>
  <c r="O11" i="15"/>
  <c r="P11" i="15"/>
  <c r="Q11" i="15"/>
  <c r="R11" i="15"/>
  <c r="S11" i="15"/>
  <c r="T11" i="15"/>
  <c r="U11" i="15"/>
  <c r="V11" i="15"/>
  <c r="W11" i="15"/>
  <c r="X11" i="15"/>
  <c r="N10" i="15"/>
  <c r="O10" i="15"/>
  <c r="P10" i="15"/>
  <c r="Q10" i="15"/>
  <c r="R10" i="15"/>
  <c r="S10" i="15"/>
  <c r="T10" i="15"/>
  <c r="U10" i="15"/>
  <c r="V10" i="15"/>
  <c r="W10" i="15"/>
  <c r="X10" i="15"/>
  <c r="N7" i="15"/>
  <c r="O7" i="15"/>
  <c r="P7" i="15"/>
  <c r="Q7" i="15"/>
  <c r="R7" i="15"/>
  <c r="S7" i="15"/>
  <c r="T7" i="15"/>
  <c r="U7" i="15"/>
  <c r="V7" i="15"/>
  <c r="W7" i="15"/>
  <c r="X7" i="15"/>
  <c r="N6" i="15"/>
  <c r="O6" i="15"/>
  <c r="P6" i="15"/>
  <c r="Q6" i="15"/>
  <c r="R6" i="15"/>
  <c r="S6" i="15"/>
  <c r="T6" i="15"/>
  <c r="U6" i="15"/>
  <c r="V6" i="15"/>
  <c r="W6" i="15"/>
  <c r="X6" i="15"/>
  <c r="F7" i="12"/>
  <c r="F13" i="12"/>
  <c r="F22" i="12" s="1"/>
  <c r="F14" i="12"/>
  <c r="F23" i="12" s="1"/>
  <c r="F113" i="12" s="1"/>
  <c r="G7" i="12"/>
  <c r="G13" i="12"/>
  <c r="G22" i="12" s="1"/>
  <c r="G14" i="12"/>
  <c r="G23" i="12" s="1"/>
  <c r="H7" i="12"/>
  <c r="H13" i="12"/>
  <c r="H22" i="12" s="1"/>
  <c r="H14" i="12"/>
  <c r="H23" i="12" s="1"/>
  <c r="I7" i="12"/>
  <c r="I13" i="12"/>
  <c r="I22" i="12" s="1"/>
  <c r="I14" i="12"/>
  <c r="I23" i="12" s="1"/>
  <c r="J7" i="12"/>
  <c r="J13" i="12"/>
  <c r="J22" i="12" s="1"/>
  <c r="J14" i="12"/>
  <c r="J23" i="12" s="1"/>
  <c r="K7" i="12"/>
  <c r="K13" i="12"/>
  <c r="K22" i="12" s="1"/>
  <c r="K14" i="12"/>
  <c r="L7" i="12"/>
  <c r="L13" i="12"/>
  <c r="L22" i="12" s="1"/>
  <c r="L14" i="12"/>
  <c r="L23" i="12" s="1"/>
  <c r="M7" i="12"/>
  <c r="M13" i="12"/>
  <c r="M22" i="12" s="1"/>
  <c r="M14" i="12"/>
  <c r="M23" i="12" s="1"/>
  <c r="N7" i="12"/>
  <c r="N13" i="12"/>
  <c r="N22" i="12" s="1"/>
  <c r="N14" i="12"/>
  <c r="N23" i="12" s="1"/>
  <c r="O7" i="12"/>
  <c r="O13" i="12"/>
  <c r="O22" i="12" s="1"/>
  <c r="O14" i="12"/>
  <c r="O23" i="12" s="1"/>
  <c r="E7" i="12"/>
  <c r="E13" i="12"/>
  <c r="E22" i="12" s="1"/>
  <c r="E14" i="12"/>
  <c r="E23" i="12" s="1"/>
  <c r="AL62" i="14"/>
  <c r="AM62" i="14"/>
  <c r="AN62" i="14"/>
  <c r="AO62" i="14"/>
  <c r="AP62" i="14"/>
  <c r="AQ62" i="14"/>
  <c r="AR62" i="14"/>
  <c r="AS62" i="14"/>
  <c r="AT62" i="14"/>
  <c r="AU62" i="14"/>
  <c r="AV62" i="14"/>
  <c r="AL45" i="14"/>
  <c r="AM45" i="14"/>
  <c r="AN45" i="14"/>
  <c r="AO45" i="14"/>
  <c r="AP45" i="14"/>
  <c r="AQ45" i="14"/>
  <c r="AR45" i="14"/>
  <c r="AW45" i="14" s="1"/>
  <c r="AW62" i="14" s="1"/>
  <c r="AS45" i="14"/>
  <c r="AT45" i="14"/>
  <c r="AU45" i="14"/>
  <c r="AV45" i="14"/>
  <c r="N18" i="14"/>
  <c r="O18" i="14"/>
  <c r="P18" i="14"/>
  <c r="Q18" i="14"/>
  <c r="R18" i="14"/>
  <c r="S18" i="14"/>
  <c r="T18" i="14"/>
  <c r="U18" i="14"/>
  <c r="V18" i="14"/>
  <c r="W18" i="14"/>
  <c r="X18" i="14"/>
  <c r="N17" i="14"/>
  <c r="O17" i="14"/>
  <c r="P17" i="14"/>
  <c r="Q17" i="14"/>
  <c r="R17" i="14"/>
  <c r="S17" i="14"/>
  <c r="T17" i="14"/>
  <c r="U17" i="14"/>
  <c r="V17" i="14"/>
  <c r="W17" i="14"/>
  <c r="X17" i="14"/>
  <c r="N16" i="14"/>
  <c r="O16" i="14"/>
  <c r="P16" i="14"/>
  <c r="Q16" i="14"/>
  <c r="R16" i="14"/>
  <c r="S16" i="14"/>
  <c r="T16" i="14"/>
  <c r="U16" i="14"/>
  <c r="V16" i="14"/>
  <c r="W16" i="14"/>
  <c r="X16" i="14"/>
  <c r="N15" i="14"/>
  <c r="O15" i="14"/>
  <c r="P15" i="14"/>
  <c r="Q15" i="14"/>
  <c r="R15" i="14"/>
  <c r="S15" i="14"/>
  <c r="T15" i="14"/>
  <c r="U15" i="14"/>
  <c r="V15" i="14"/>
  <c r="W15" i="14"/>
  <c r="X15" i="14"/>
  <c r="N14" i="14"/>
  <c r="O14" i="14"/>
  <c r="P14" i="14"/>
  <c r="Q14" i="14"/>
  <c r="R14" i="14"/>
  <c r="S14" i="14"/>
  <c r="T14" i="14"/>
  <c r="U14" i="14"/>
  <c r="V14" i="14"/>
  <c r="W14" i="14"/>
  <c r="X14" i="14"/>
  <c r="AL17" i="14"/>
  <c r="AM17" i="14"/>
  <c r="AN17" i="14"/>
  <c r="AO17" i="14"/>
  <c r="AP17" i="14"/>
  <c r="AQ17" i="14"/>
  <c r="AR17" i="14"/>
  <c r="AS17" i="14"/>
  <c r="AT17" i="14"/>
  <c r="AU17" i="14"/>
  <c r="AV17" i="14"/>
  <c r="AL16" i="14"/>
  <c r="AM16" i="14"/>
  <c r="AN16" i="14"/>
  <c r="AO16" i="14"/>
  <c r="AP16" i="14"/>
  <c r="AQ16" i="14"/>
  <c r="AR16" i="14"/>
  <c r="AS16" i="14"/>
  <c r="AT16" i="14"/>
  <c r="AU16" i="14"/>
  <c r="AV16" i="14"/>
  <c r="AL15" i="14"/>
  <c r="AM15" i="14"/>
  <c r="AN15" i="14"/>
  <c r="AO15" i="14"/>
  <c r="AP15" i="14"/>
  <c r="AQ15" i="14"/>
  <c r="AR15" i="14"/>
  <c r="AS15" i="14"/>
  <c r="AT15" i="14"/>
  <c r="AU15" i="14"/>
  <c r="AV15" i="14"/>
  <c r="AL14" i="14"/>
  <c r="AM14" i="14"/>
  <c r="AN14" i="14"/>
  <c r="AO14" i="14"/>
  <c r="AP14" i="14"/>
  <c r="AQ14" i="14"/>
  <c r="AR14" i="14"/>
  <c r="AS14" i="14"/>
  <c r="AT14" i="14"/>
  <c r="AU14" i="14"/>
  <c r="AV14" i="14"/>
  <c r="N62" i="14"/>
  <c r="O62" i="14"/>
  <c r="P62" i="14"/>
  <c r="Q62" i="14"/>
  <c r="R62" i="14"/>
  <c r="S62" i="14"/>
  <c r="T62" i="14"/>
  <c r="U62" i="14"/>
  <c r="V62" i="14"/>
  <c r="W62" i="14"/>
  <c r="X62" i="14"/>
  <c r="N45" i="14"/>
  <c r="O45" i="14"/>
  <c r="P45" i="14"/>
  <c r="Q45" i="14"/>
  <c r="R45" i="14"/>
  <c r="S45" i="14"/>
  <c r="T45" i="14"/>
  <c r="U45" i="14"/>
  <c r="V45" i="14"/>
  <c r="W45" i="14"/>
  <c r="X45" i="14"/>
  <c r="P146" i="12"/>
  <c r="P147" i="12"/>
  <c r="P148" i="12"/>
  <c r="P149" i="12"/>
  <c r="P150" i="12"/>
  <c r="P151" i="12"/>
  <c r="P152" i="12"/>
  <c r="P153" i="12"/>
  <c r="P145" i="12"/>
  <c r="S9" i="18"/>
  <c r="P5" i="18"/>
  <c r="S5" i="18" s="1"/>
  <c r="Q5" i="18"/>
  <c r="R5" i="18"/>
  <c r="S10" i="18"/>
  <c r="S12" i="18"/>
  <c r="S13" i="18"/>
  <c r="S14" i="18"/>
  <c r="S15" i="18"/>
  <c r="S16" i="18"/>
  <c r="S17" i="18"/>
  <c r="S18" i="18"/>
  <c r="S19" i="18"/>
  <c r="S20" i="18"/>
  <c r="M9" i="18"/>
  <c r="F5" i="18"/>
  <c r="G5" i="18"/>
  <c r="H5" i="18"/>
  <c r="I5" i="18"/>
  <c r="J5" i="18"/>
  <c r="K5" i="18"/>
  <c r="L5" i="18"/>
  <c r="M5" i="18" s="1"/>
  <c r="M10" i="18"/>
  <c r="M12" i="18"/>
  <c r="M13" i="18"/>
  <c r="M14" i="18"/>
  <c r="M15" i="18"/>
  <c r="M16" i="18"/>
  <c r="M17" i="18"/>
  <c r="M18" i="18"/>
  <c r="M19" i="18"/>
  <c r="M20" i="18"/>
  <c r="S8" i="18"/>
  <c r="M8" i="18"/>
  <c r="C5" i="18"/>
  <c r="C90" i="2"/>
  <c r="C23" i="2"/>
  <c r="C24" i="2"/>
  <c r="C26" i="2"/>
  <c r="J23" i="2"/>
  <c r="E12" i="12"/>
  <c r="E21" i="12" s="1"/>
  <c r="E11" i="12"/>
  <c r="E20" i="12" s="1"/>
  <c r="E10" i="12"/>
  <c r="E19" i="12" s="1"/>
  <c r="E9" i="12"/>
  <c r="E18" i="12" s="1"/>
  <c r="J24" i="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B130" i="12"/>
  <c r="B131" i="12"/>
  <c r="B132" i="12"/>
  <c r="B133" i="12"/>
  <c r="B134" i="12"/>
  <c r="B135" i="12"/>
  <c r="B136" i="12"/>
  <c r="B137" i="12"/>
  <c r="B138" i="12"/>
  <c r="B139" i="12"/>
  <c r="B140" i="12"/>
  <c r="B141" i="12"/>
  <c r="B142" i="12"/>
  <c r="B143" i="12"/>
  <c r="B144" i="12"/>
  <c r="B145" i="12"/>
  <c r="B146" i="12"/>
  <c r="B147" i="12"/>
  <c r="B148" i="12"/>
  <c r="B149" i="12"/>
  <c r="B150" i="12"/>
  <c r="B151" i="12"/>
  <c r="B152" i="12"/>
  <c r="B153" i="12"/>
  <c r="J26" i="2"/>
  <c r="C27" i="2"/>
  <c r="J27" i="2"/>
  <c r="C28" i="2"/>
  <c r="J28" i="2"/>
  <c r="C29" i="2"/>
  <c r="J29" i="2"/>
  <c r="C30" i="2"/>
  <c r="J30" i="2"/>
  <c r="C31" i="2"/>
  <c r="J31" i="2"/>
  <c r="C33" i="2"/>
  <c r="J33" i="2"/>
  <c r="C34" i="2"/>
  <c r="J34" i="2"/>
  <c r="C35" i="2"/>
  <c r="J35" i="2"/>
  <c r="C36" i="2"/>
  <c r="J36" i="2"/>
  <c r="C37" i="2"/>
  <c r="J37" i="2"/>
  <c r="C38" i="2"/>
  <c r="J38" i="2"/>
  <c r="C39" i="2"/>
  <c r="J39" i="2"/>
  <c r="C40" i="2"/>
  <c r="J40" i="2"/>
  <c r="C41" i="2"/>
  <c r="J41" i="2"/>
  <c r="C42" i="2"/>
  <c r="J42" i="2"/>
  <c r="C43" i="2"/>
  <c r="J43" i="2"/>
  <c r="C44" i="2"/>
  <c r="J44" i="2"/>
  <c r="C45" i="2"/>
  <c r="J45" i="2"/>
  <c r="C46" i="2"/>
  <c r="J46" i="2"/>
  <c r="C47" i="2"/>
  <c r="J47" i="2"/>
  <c r="C48" i="2"/>
  <c r="J48" i="2"/>
  <c r="C49" i="2"/>
  <c r="J49" i="2"/>
  <c r="C50" i="2"/>
  <c r="J50" i="2"/>
  <c r="C51" i="2"/>
  <c r="J51" i="2"/>
  <c r="C52" i="2"/>
  <c r="J52" i="2"/>
  <c r="C54" i="2"/>
  <c r="J54" i="2"/>
  <c r="C55" i="2"/>
  <c r="J55" i="2"/>
  <c r="C56" i="2"/>
  <c r="J56" i="2"/>
  <c r="C57" i="2"/>
  <c r="J57" i="2"/>
  <c r="C58" i="2"/>
  <c r="J58" i="2"/>
  <c r="C59" i="2"/>
  <c r="J59" i="2"/>
  <c r="C60" i="2"/>
  <c r="J60" i="2"/>
  <c r="C61" i="2"/>
  <c r="J61" i="2"/>
  <c r="C62" i="2"/>
  <c r="J62" i="2"/>
  <c r="C63" i="2"/>
  <c r="B63" i="2" s="1"/>
  <c r="J63" i="2"/>
  <c r="C64" i="2"/>
  <c r="B64" i="2" s="1"/>
  <c r="J64" i="2"/>
  <c r="C65" i="2"/>
  <c r="B65" i="2" s="1"/>
  <c r="J65" i="2"/>
  <c r="C66" i="2"/>
  <c r="B66" i="2" s="1"/>
  <c r="J66" i="2"/>
  <c r="C67" i="2"/>
  <c r="B67" i="2" s="1"/>
  <c r="J67" i="2"/>
  <c r="C68" i="2"/>
  <c r="B68" i="2" s="1"/>
  <c r="J68" i="2"/>
  <c r="C69" i="2"/>
  <c r="B69" i="2" s="1"/>
  <c r="J69" i="2"/>
  <c r="C70" i="2"/>
  <c r="B70" i="2" s="1"/>
  <c r="J70" i="2"/>
  <c r="C71" i="2"/>
  <c r="B71" i="2" s="1"/>
  <c r="J71" i="2"/>
  <c r="C72" i="2"/>
  <c r="B72" i="2" s="1"/>
  <c r="J72" i="2"/>
  <c r="C73" i="2"/>
  <c r="B73" i="2" s="1"/>
  <c r="J73" i="2"/>
  <c r="C74" i="2"/>
  <c r="J74" i="2"/>
  <c r="C75" i="2"/>
  <c r="B75" i="2" s="1"/>
  <c r="J75" i="2"/>
  <c r="C76" i="2"/>
  <c r="B76" i="2" s="1"/>
  <c r="J76" i="2"/>
  <c r="C77" i="2"/>
  <c r="B77" i="2" s="1"/>
  <c r="J77" i="2"/>
  <c r="C78" i="2"/>
  <c r="B78" i="2" s="1"/>
  <c r="J78" i="2"/>
  <c r="C79" i="2"/>
  <c r="B79" i="2" s="1"/>
  <c r="J79" i="2"/>
  <c r="C80" i="2"/>
  <c r="B80" i="2" s="1"/>
  <c r="J80" i="2"/>
  <c r="C81" i="2"/>
  <c r="B81" i="2" s="1"/>
  <c r="J81" i="2"/>
  <c r="C82" i="2"/>
  <c r="B82" i="2" s="1"/>
  <c r="J82" i="2"/>
  <c r="C83" i="2"/>
  <c r="B83" i="2" s="1"/>
  <c r="J83" i="2"/>
  <c r="C84" i="2"/>
  <c r="B84" i="2" s="1"/>
  <c r="J84" i="2"/>
  <c r="C85" i="2"/>
  <c r="B85" i="2" s="1"/>
  <c r="J85" i="2"/>
  <c r="C86" i="2"/>
  <c r="B86" i="2" s="1"/>
  <c r="J86" i="2"/>
  <c r="C87" i="2"/>
  <c r="B87" i="2" s="1"/>
  <c r="J87" i="2"/>
  <c r="C88" i="2"/>
  <c r="B88" i="2" s="1"/>
  <c r="J88" i="2"/>
  <c r="C89" i="2"/>
  <c r="B89" i="2" s="1"/>
  <c r="J89" i="2"/>
  <c r="J90" i="2"/>
  <c r="C91" i="2"/>
  <c r="B91" i="2" s="1"/>
  <c r="J91" i="2"/>
  <c r="C92" i="2"/>
  <c r="B92" i="2" s="1"/>
  <c r="J92" i="2"/>
  <c r="C93" i="2"/>
  <c r="B93" i="2" s="1"/>
  <c r="J93" i="2"/>
  <c r="C171" i="2"/>
  <c r="K10" i="14"/>
  <c r="X10" i="14" s="1"/>
  <c r="L10" i="14"/>
  <c r="M10" i="14"/>
  <c r="AI11" i="14"/>
  <c r="AJ11" i="14"/>
  <c r="AK11" i="14"/>
  <c r="AV11" i="14"/>
  <c r="D10" i="14"/>
  <c r="U10" i="14" s="1"/>
  <c r="E10" i="14"/>
  <c r="F10" i="14"/>
  <c r="G10" i="14"/>
  <c r="H10" i="14"/>
  <c r="I10" i="14"/>
  <c r="J10" i="14"/>
  <c r="AB11" i="14"/>
  <c r="AS11" i="14" s="1"/>
  <c r="AC11" i="14"/>
  <c r="AD11" i="14"/>
  <c r="AE11" i="14"/>
  <c r="AF11" i="14"/>
  <c r="AG11" i="14"/>
  <c r="AH11" i="14"/>
  <c r="C10" i="14"/>
  <c r="N10" i="14" s="1"/>
  <c r="AA11" i="14"/>
  <c r="AL11" i="14"/>
  <c r="AL18" i="14"/>
  <c r="AM18" i="14"/>
  <c r="AN18" i="14"/>
  <c r="AO18" i="14"/>
  <c r="AP18" i="14"/>
  <c r="AW18" i="14" s="1"/>
  <c r="AQ18" i="14"/>
  <c r="AR18" i="14"/>
  <c r="AS18" i="14"/>
  <c r="AT18" i="14"/>
  <c r="AU18" i="14"/>
  <c r="AV18" i="14"/>
  <c r="N20" i="14"/>
  <c r="O20" i="14"/>
  <c r="P20" i="14"/>
  <c r="Q20" i="14"/>
  <c r="R20" i="14"/>
  <c r="S20" i="14"/>
  <c r="T20" i="14"/>
  <c r="U20" i="14"/>
  <c r="V20" i="14"/>
  <c r="W20" i="14"/>
  <c r="X20" i="14"/>
  <c r="AL20" i="14"/>
  <c r="AM20" i="14"/>
  <c r="AN20" i="14"/>
  <c r="AO20" i="14"/>
  <c r="AP20" i="14"/>
  <c r="AW20" i="14" s="1"/>
  <c r="AQ20" i="14"/>
  <c r="AR20" i="14"/>
  <c r="AS20" i="14"/>
  <c r="AT20" i="14"/>
  <c r="AU20" i="14"/>
  <c r="AV20" i="14"/>
  <c r="N21" i="14"/>
  <c r="O21" i="14"/>
  <c r="P21" i="14"/>
  <c r="Q21" i="14"/>
  <c r="R21" i="14"/>
  <c r="S21" i="14"/>
  <c r="T21" i="14"/>
  <c r="U21" i="14"/>
  <c r="V21" i="14"/>
  <c r="W21" i="14"/>
  <c r="X21" i="14"/>
  <c r="AL21" i="14"/>
  <c r="AM21" i="14"/>
  <c r="AN21" i="14"/>
  <c r="AO21" i="14"/>
  <c r="AP21" i="14"/>
  <c r="AW21" i="14" s="1"/>
  <c r="AQ21" i="14"/>
  <c r="AR21" i="14"/>
  <c r="AS21" i="14"/>
  <c r="AT21" i="14"/>
  <c r="AU21" i="14"/>
  <c r="AV21" i="14"/>
  <c r="N22" i="14"/>
  <c r="O22" i="14"/>
  <c r="P22" i="14"/>
  <c r="Q22" i="14"/>
  <c r="R22" i="14"/>
  <c r="S22" i="14"/>
  <c r="T22" i="14"/>
  <c r="U22" i="14"/>
  <c r="V22" i="14"/>
  <c r="W22" i="14"/>
  <c r="X22" i="14"/>
  <c r="AL22" i="14"/>
  <c r="AM22" i="14"/>
  <c r="AN22" i="14"/>
  <c r="AO22" i="14"/>
  <c r="AP22" i="14"/>
  <c r="AW22" i="14" s="1"/>
  <c r="AQ22" i="14"/>
  <c r="AR22" i="14"/>
  <c r="AS22" i="14"/>
  <c r="AT22" i="14"/>
  <c r="AU22" i="14"/>
  <c r="AV22" i="14"/>
  <c r="N23" i="14"/>
  <c r="O23" i="14"/>
  <c r="P23" i="14"/>
  <c r="Q23" i="14"/>
  <c r="R23" i="14"/>
  <c r="S23" i="14"/>
  <c r="T23" i="14"/>
  <c r="U23" i="14"/>
  <c r="V23" i="14"/>
  <c r="W23" i="14"/>
  <c r="X23" i="14"/>
  <c r="AL23" i="14"/>
  <c r="AM23" i="14"/>
  <c r="AN23" i="14"/>
  <c r="AO23" i="14"/>
  <c r="AP23" i="14"/>
  <c r="AW23" i="14" s="1"/>
  <c r="AQ23" i="14"/>
  <c r="AR23" i="14"/>
  <c r="AS23" i="14"/>
  <c r="AT23" i="14"/>
  <c r="AU23" i="14"/>
  <c r="AV23" i="14"/>
  <c r="N24" i="14"/>
  <c r="O24" i="14"/>
  <c r="P24" i="14"/>
  <c r="Q24" i="14"/>
  <c r="R24" i="14"/>
  <c r="S24" i="14"/>
  <c r="T24" i="14"/>
  <c r="U24" i="14"/>
  <c r="V24" i="14"/>
  <c r="W24" i="14"/>
  <c r="X24" i="14"/>
  <c r="AL24" i="14"/>
  <c r="AM24" i="14"/>
  <c r="AN24" i="14"/>
  <c r="AO24" i="14"/>
  <c r="AP24" i="14"/>
  <c r="AW24" i="14" s="1"/>
  <c r="AQ24" i="14"/>
  <c r="AR24" i="14"/>
  <c r="AS24" i="14"/>
  <c r="AT24" i="14"/>
  <c r="AU24" i="14"/>
  <c r="AV24" i="14"/>
  <c r="N29" i="14"/>
  <c r="O29" i="14"/>
  <c r="P29" i="14"/>
  <c r="Q29" i="14"/>
  <c r="R29" i="14"/>
  <c r="S29" i="14"/>
  <c r="T29" i="14"/>
  <c r="U29" i="14"/>
  <c r="V29" i="14"/>
  <c r="W29" i="14"/>
  <c r="X29" i="14"/>
  <c r="AL29" i="14"/>
  <c r="AM29" i="14"/>
  <c r="AN29" i="14"/>
  <c r="AO29" i="14"/>
  <c r="AP29" i="14"/>
  <c r="AW29" i="14" s="1"/>
  <c r="AQ29" i="14"/>
  <c r="AR29" i="14"/>
  <c r="AS29" i="14"/>
  <c r="AT29" i="14"/>
  <c r="AU29" i="14"/>
  <c r="AV29" i="14"/>
  <c r="N31" i="14"/>
  <c r="O31" i="14"/>
  <c r="P31" i="14"/>
  <c r="Q31" i="14"/>
  <c r="R31" i="14"/>
  <c r="S31" i="14"/>
  <c r="T31" i="14"/>
  <c r="U31" i="14"/>
  <c r="V31" i="14"/>
  <c r="W31" i="14"/>
  <c r="X31" i="14"/>
  <c r="AL31" i="14"/>
  <c r="AM31" i="14"/>
  <c r="AN31" i="14"/>
  <c r="AO31" i="14"/>
  <c r="AP31" i="14"/>
  <c r="AW31" i="14" s="1"/>
  <c r="AQ31" i="14"/>
  <c r="AR31" i="14"/>
  <c r="AS31" i="14"/>
  <c r="AT31" i="14"/>
  <c r="AU31" i="14"/>
  <c r="AV31" i="14"/>
  <c r="N32" i="14"/>
  <c r="O32" i="14"/>
  <c r="P32" i="14"/>
  <c r="Q32" i="14"/>
  <c r="R32" i="14"/>
  <c r="S32" i="14"/>
  <c r="T32" i="14"/>
  <c r="U32" i="14"/>
  <c r="V32" i="14"/>
  <c r="W32" i="14"/>
  <c r="X32" i="14"/>
  <c r="AL32" i="14"/>
  <c r="AM32" i="14"/>
  <c r="AN32" i="14"/>
  <c r="AO32" i="14"/>
  <c r="AP32" i="14"/>
  <c r="AW32" i="14" s="1"/>
  <c r="AQ32" i="14"/>
  <c r="AR32" i="14"/>
  <c r="AS32" i="14"/>
  <c r="AT32" i="14"/>
  <c r="AU32" i="14"/>
  <c r="AV32" i="14"/>
  <c r="N33" i="14"/>
  <c r="O33" i="14"/>
  <c r="P33" i="14"/>
  <c r="Q33" i="14"/>
  <c r="R33" i="14"/>
  <c r="S33" i="14"/>
  <c r="T33" i="14"/>
  <c r="U33" i="14"/>
  <c r="V33" i="14"/>
  <c r="W33" i="14"/>
  <c r="X33" i="14"/>
  <c r="AL33" i="14"/>
  <c r="AM33" i="14"/>
  <c r="AN33" i="14"/>
  <c r="AO33" i="14"/>
  <c r="AP33" i="14"/>
  <c r="AW33" i="14" s="1"/>
  <c r="AQ33" i="14"/>
  <c r="AR33" i="14"/>
  <c r="AS33" i="14"/>
  <c r="AT33" i="14"/>
  <c r="AU33" i="14"/>
  <c r="AV33" i="14"/>
  <c r="N35" i="14"/>
  <c r="O35" i="14"/>
  <c r="P35" i="14"/>
  <c r="Q35" i="14"/>
  <c r="R35" i="14"/>
  <c r="S35" i="14"/>
  <c r="T35" i="14"/>
  <c r="U35" i="14"/>
  <c r="V35" i="14"/>
  <c r="W35" i="14"/>
  <c r="X35" i="14"/>
  <c r="AL35" i="14"/>
  <c r="AM35" i="14"/>
  <c r="AN35" i="14"/>
  <c r="AO35" i="14"/>
  <c r="AP35" i="14"/>
  <c r="AW35" i="14" s="1"/>
  <c r="AQ35" i="14"/>
  <c r="AR35" i="14"/>
  <c r="AS35" i="14"/>
  <c r="AT35" i="14"/>
  <c r="AU35" i="14"/>
  <c r="AV35" i="14"/>
  <c r="N36" i="14"/>
  <c r="O36" i="14"/>
  <c r="P36" i="14"/>
  <c r="Q36" i="14"/>
  <c r="R36" i="14"/>
  <c r="S36" i="14"/>
  <c r="T36" i="14"/>
  <c r="U36" i="14"/>
  <c r="V36" i="14"/>
  <c r="W36" i="14"/>
  <c r="X36" i="14"/>
  <c r="AL36" i="14"/>
  <c r="AM36" i="14"/>
  <c r="AN36" i="14"/>
  <c r="AO36" i="14"/>
  <c r="AP36" i="14"/>
  <c r="AW36" i="14" s="1"/>
  <c r="AQ36" i="14"/>
  <c r="AR36" i="14"/>
  <c r="AS36" i="14"/>
  <c r="AT36" i="14"/>
  <c r="AU36" i="14"/>
  <c r="AV36" i="14"/>
  <c r="N37" i="14"/>
  <c r="O37" i="14"/>
  <c r="P37" i="14"/>
  <c r="Q37" i="14"/>
  <c r="R37" i="14"/>
  <c r="S37" i="14"/>
  <c r="T37" i="14"/>
  <c r="U37" i="14"/>
  <c r="V37" i="14"/>
  <c r="W37" i="14"/>
  <c r="X37" i="14"/>
  <c r="AL37" i="14"/>
  <c r="AM37" i="14"/>
  <c r="AN37" i="14"/>
  <c r="AO37" i="14"/>
  <c r="AP37" i="14"/>
  <c r="AW37" i="14" s="1"/>
  <c r="AQ37" i="14"/>
  <c r="AR37" i="14"/>
  <c r="AS37" i="14"/>
  <c r="AT37" i="14"/>
  <c r="AU37" i="14"/>
  <c r="AV37" i="14"/>
  <c r="N41" i="14"/>
  <c r="O41" i="14"/>
  <c r="P41" i="14"/>
  <c r="Q41" i="14"/>
  <c r="R41" i="14"/>
  <c r="S41" i="14"/>
  <c r="T41" i="14"/>
  <c r="U41" i="14"/>
  <c r="V41" i="14"/>
  <c r="W41" i="14"/>
  <c r="X41" i="14"/>
  <c r="AL41" i="14"/>
  <c r="AM41" i="14"/>
  <c r="AN41" i="14"/>
  <c r="AO41" i="14"/>
  <c r="AP41" i="14"/>
  <c r="AW41" i="14" s="1"/>
  <c r="AQ41" i="14"/>
  <c r="AR41" i="14"/>
  <c r="AS41" i="14"/>
  <c r="AT41" i="14"/>
  <c r="AU41" i="14"/>
  <c r="AV41" i="14"/>
  <c r="N42" i="14"/>
  <c r="O42" i="14"/>
  <c r="P42" i="14"/>
  <c r="Q42" i="14"/>
  <c r="R42" i="14"/>
  <c r="S42" i="14"/>
  <c r="T42" i="14"/>
  <c r="U42" i="14"/>
  <c r="V42" i="14"/>
  <c r="W42" i="14"/>
  <c r="X42" i="14"/>
  <c r="AL42" i="14"/>
  <c r="AM42" i="14"/>
  <c r="AN42" i="14"/>
  <c r="AO42" i="14"/>
  <c r="AP42" i="14"/>
  <c r="AW42" i="14" s="1"/>
  <c r="AQ42" i="14"/>
  <c r="AR42" i="14"/>
  <c r="AS42" i="14"/>
  <c r="AT42" i="14"/>
  <c r="AU42" i="14"/>
  <c r="AV42" i="14"/>
  <c r="N43" i="14"/>
  <c r="O43" i="14"/>
  <c r="P43" i="14"/>
  <c r="Q43" i="14"/>
  <c r="R43" i="14"/>
  <c r="S43" i="14"/>
  <c r="T43" i="14"/>
  <c r="U43" i="14"/>
  <c r="V43" i="14"/>
  <c r="W43" i="14"/>
  <c r="X43" i="14"/>
  <c r="AL43" i="14"/>
  <c r="AM43" i="14"/>
  <c r="AN43" i="14"/>
  <c r="AO43" i="14"/>
  <c r="AP43" i="14"/>
  <c r="AQ43" i="14"/>
  <c r="AR43" i="14"/>
  <c r="AS43" i="14"/>
  <c r="AT43" i="14"/>
  <c r="AU43" i="14"/>
  <c r="AV43" i="14"/>
  <c r="AW43" i="14"/>
  <c r="N44" i="14"/>
  <c r="O44" i="14"/>
  <c r="Y44" i="14" s="1"/>
  <c r="P44" i="14"/>
  <c r="Q44" i="14"/>
  <c r="R44" i="14"/>
  <c r="S44" i="14"/>
  <c r="T44" i="14"/>
  <c r="U44" i="14"/>
  <c r="V44" i="14"/>
  <c r="W44" i="14"/>
  <c r="X44" i="14"/>
  <c r="AL44" i="14"/>
  <c r="AM44" i="14"/>
  <c r="AN44" i="14"/>
  <c r="AO44" i="14"/>
  <c r="AP44" i="14"/>
  <c r="AQ44" i="14"/>
  <c r="AR44" i="14"/>
  <c r="AS44" i="14"/>
  <c r="AT44" i="14"/>
  <c r="AU44" i="14"/>
  <c r="AV44" i="14"/>
  <c r="AW44" i="14"/>
  <c r="N48" i="14"/>
  <c r="O48" i="14"/>
  <c r="P48" i="14"/>
  <c r="Q48" i="14"/>
  <c r="R48" i="14"/>
  <c r="S48" i="14"/>
  <c r="T48" i="14"/>
  <c r="U48" i="14"/>
  <c r="V48" i="14"/>
  <c r="W48" i="14"/>
  <c r="X48" i="14"/>
  <c r="AL48" i="14"/>
  <c r="AM48" i="14"/>
  <c r="AN48" i="14"/>
  <c r="AO48" i="14"/>
  <c r="AP48" i="14"/>
  <c r="AQ48" i="14"/>
  <c r="AR48" i="14"/>
  <c r="AS48" i="14"/>
  <c r="AT48" i="14"/>
  <c r="AU48" i="14"/>
  <c r="AV48" i="14"/>
  <c r="AW48" i="14"/>
  <c r="N50" i="14"/>
  <c r="O50" i="14"/>
  <c r="Y50" i="14" s="1"/>
  <c r="P50" i="14"/>
  <c r="Q50" i="14"/>
  <c r="R50" i="14"/>
  <c r="S50" i="14"/>
  <c r="T50" i="14"/>
  <c r="U50" i="14"/>
  <c r="V50" i="14"/>
  <c r="W50" i="14"/>
  <c r="X50" i="14"/>
  <c r="AL50" i="14"/>
  <c r="AM50" i="14"/>
  <c r="AN50" i="14"/>
  <c r="AO50" i="14"/>
  <c r="AP50" i="14"/>
  <c r="AQ50" i="14"/>
  <c r="AR50" i="14"/>
  <c r="AS50" i="14"/>
  <c r="AT50" i="14"/>
  <c r="AU50" i="14"/>
  <c r="AV50" i="14"/>
  <c r="AW50" i="14"/>
  <c r="N54" i="14"/>
  <c r="O54" i="14"/>
  <c r="Y54" i="14" s="1"/>
  <c r="P54" i="14"/>
  <c r="Q54" i="14"/>
  <c r="R54" i="14"/>
  <c r="S54" i="14"/>
  <c r="T54" i="14"/>
  <c r="U54" i="14"/>
  <c r="V54" i="14"/>
  <c r="W54" i="14"/>
  <c r="X54" i="14"/>
  <c r="AL54" i="14"/>
  <c r="AM54" i="14"/>
  <c r="AN54" i="14"/>
  <c r="AO54" i="14"/>
  <c r="AP54" i="14"/>
  <c r="AQ54" i="14"/>
  <c r="AR54" i="14"/>
  <c r="AS54" i="14"/>
  <c r="AT54" i="14"/>
  <c r="AU54" i="14"/>
  <c r="AV54" i="14"/>
  <c r="AW54" i="14"/>
  <c r="N55" i="14"/>
  <c r="O55" i="14"/>
  <c r="P55" i="14"/>
  <c r="Q55" i="14"/>
  <c r="R55" i="14"/>
  <c r="S55" i="14"/>
  <c r="T55" i="14"/>
  <c r="U55" i="14"/>
  <c r="V55" i="14"/>
  <c r="W55" i="14"/>
  <c r="X55" i="14"/>
  <c r="AL55" i="14"/>
  <c r="AM55" i="14"/>
  <c r="AN55" i="14"/>
  <c r="AO55" i="14"/>
  <c r="AP55" i="14"/>
  <c r="AQ55" i="14"/>
  <c r="AR55" i="14"/>
  <c r="AS55" i="14"/>
  <c r="AT55" i="14"/>
  <c r="AU55" i="14"/>
  <c r="AV55" i="14"/>
  <c r="AW55" i="14"/>
  <c r="N58" i="14"/>
  <c r="O58" i="14"/>
  <c r="P58" i="14"/>
  <c r="Q58" i="14"/>
  <c r="R58" i="14"/>
  <c r="S58" i="14"/>
  <c r="T58" i="14"/>
  <c r="U58" i="14"/>
  <c r="V58" i="14"/>
  <c r="W58" i="14"/>
  <c r="X58" i="14"/>
  <c r="AL58" i="14"/>
  <c r="AM58" i="14"/>
  <c r="AN58" i="14"/>
  <c r="AO58" i="14"/>
  <c r="AP58" i="14"/>
  <c r="AQ58" i="14"/>
  <c r="AR58" i="14"/>
  <c r="AS58" i="14"/>
  <c r="AT58" i="14"/>
  <c r="AU58" i="14"/>
  <c r="AV58" i="14"/>
  <c r="AW58" i="14"/>
  <c r="N59" i="14"/>
  <c r="O59" i="14"/>
  <c r="Y59" i="14" s="1"/>
  <c r="P59" i="14"/>
  <c r="Q59" i="14"/>
  <c r="R59" i="14"/>
  <c r="S59" i="14"/>
  <c r="T59" i="14"/>
  <c r="U59" i="14"/>
  <c r="V59" i="14"/>
  <c r="W59" i="14"/>
  <c r="X59" i="14"/>
  <c r="AL59" i="14"/>
  <c r="AM59" i="14"/>
  <c r="AN59" i="14"/>
  <c r="AO59" i="14"/>
  <c r="AP59" i="14"/>
  <c r="AQ59" i="14"/>
  <c r="AR59" i="14"/>
  <c r="AS59" i="14"/>
  <c r="AT59" i="14"/>
  <c r="AU59" i="14"/>
  <c r="AV59" i="14"/>
  <c r="AW59" i="14"/>
  <c r="N60" i="14"/>
  <c r="O60" i="14"/>
  <c r="P60" i="14"/>
  <c r="Q60" i="14"/>
  <c r="R60" i="14"/>
  <c r="S60" i="14"/>
  <c r="T60" i="14"/>
  <c r="U60" i="14"/>
  <c r="V60" i="14"/>
  <c r="W60" i="14"/>
  <c r="X60" i="14"/>
  <c r="AL60" i="14"/>
  <c r="AM60" i="14"/>
  <c r="AN60" i="14"/>
  <c r="AO60" i="14"/>
  <c r="AP60" i="14"/>
  <c r="AQ60" i="14"/>
  <c r="AR60" i="14"/>
  <c r="AS60" i="14"/>
  <c r="AT60" i="14"/>
  <c r="AU60" i="14"/>
  <c r="AV60" i="14"/>
  <c r="AW60" i="14"/>
  <c r="N65" i="14"/>
  <c r="O65" i="14"/>
  <c r="Y65" i="14" s="1"/>
  <c r="P65" i="14"/>
  <c r="Q65" i="14"/>
  <c r="R65" i="14"/>
  <c r="S65" i="14"/>
  <c r="T65" i="14"/>
  <c r="U65" i="14"/>
  <c r="V65" i="14"/>
  <c r="W65" i="14"/>
  <c r="X65" i="14"/>
  <c r="AL65" i="14"/>
  <c r="AM65" i="14"/>
  <c r="AN65" i="14"/>
  <c r="AO65" i="14"/>
  <c r="AP65" i="14"/>
  <c r="AQ65" i="14"/>
  <c r="AR65" i="14"/>
  <c r="AS65" i="14"/>
  <c r="AT65" i="14"/>
  <c r="AU65" i="14"/>
  <c r="AV65" i="14"/>
  <c r="AW65" i="14"/>
  <c r="F15" i="12"/>
  <c r="G15" i="12"/>
  <c r="H15" i="12"/>
  <c r="I15" i="12"/>
  <c r="J15" i="12"/>
  <c r="K15" i="12"/>
  <c r="L15" i="12"/>
  <c r="M15" i="12"/>
  <c r="N15" i="12"/>
  <c r="O15" i="12"/>
  <c r="N72" i="15"/>
  <c r="O72" i="15"/>
  <c r="P72" i="15"/>
  <c r="Q72" i="15"/>
  <c r="R72" i="15"/>
  <c r="S72" i="15"/>
  <c r="T72" i="15"/>
  <c r="U72" i="15"/>
  <c r="V72" i="15"/>
  <c r="W72" i="15"/>
  <c r="X72" i="15"/>
  <c r="N8" i="15"/>
  <c r="O8" i="15"/>
  <c r="P8" i="15"/>
  <c r="Q8" i="15"/>
  <c r="R8" i="15"/>
  <c r="S8" i="15"/>
  <c r="T8" i="15"/>
  <c r="U8" i="15"/>
  <c r="V8" i="15"/>
  <c r="W8" i="15"/>
  <c r="X8" i="15"/>
  <c r="N9" i="15"/>
  <c r="O9" i="15"/>
  <c r="P9" i="15"/>
  <c r="Q9" i="15"/>
  <c r="R9" i="15"/>
  <c r="S9" i="15"/>
  <c r="T9" i="15"/>
  <c r="U9" i="15"/>
  <c r="V9" i="15"/>
  <c r="W9" i="15"/>
  <c r="X9" i="15"/>
  <c r="N12" i="15"/>
  <c r="O12" i="15"/>
  <c r="P12" i="15"/>
  <c r="Q12" i="15"/>
  <c r="R12" i="15"/>
  <c r="S12" i="15"/>
  <c r="T12" i="15"/>
  <c r="U12" i="15"/>
  <c r="V12" i="15"/>
  <c r="W12" i="15"/>
  <c r="X12" i="15"/>
  <c r="N13" i="15"/>
  <c r="O13" i="15"/>
  <c r="P13" i="15"/>
  <c r="Q13" i="15"/>
  <c r="R13" i="15"/>
  <c r="S13" i="15"/>
  <c r="T13" i="15"/>
  <c r="U13" i="15"/>
  <c r="V13" i="15"/>
  <c r="W13" i="15"/>
  <c r="X13" i="15"/>
  <c r="N14" i="15"/>
  <c r="O14" i="15"/>
  <c r="P14" i="15"/>
  <c r="Q14" i="15"/>
  <c r="R14" i="15"/>
  <c r="S14" i="15"/>
  <c r="T14" i="15"/>
  <c r="U14" i="15"/>
  <c r="V14" i="15"/>
  <c r="W14" i="15"/>
  <c r="X14" i="15"/>
  <c r="N15" i="15"/>
  <c r="O15" i="15"/>
  <c r="P15" i="15"/>
  <c r="Q15" i="15"/>
  <c r="R15" i="15"/>
  <c r="S15" i="15"/>
  <c r="T15" i="15"/>
  <c r="U15" i="15"/>
  <c r="V15" i="15"/>
  <c r="W15" i="15"/>
  <c r="X15" i="15"/>
  <c r="N16" i="15"/>
  <c r="O16" i="15"/>
  <c r="P16" i="15"/>
  <c r="Q16" i="15"/>
  <c r="R16" i="15"/>
  <c r="S16" i="15"/>
  <c r="T16" i="15"/>
  <c r="U16" i="15"/>
  <c r="V16" i="15"/>
  <c r="W16" i="15"/>
  <c r="X16" i="15"/>
  <c r="N18" i="15"/>
  <c r="O18" i="15"/>
  <c r="P18" i="15"/>
  <c r="Q18" i="15"/>
  <c r="R18" i="15"/>
  <c r="S18" i="15"/>
  <c r="T18" i="15"/>
  <c r="U18" i="15"/>
  <c r="V18" i="15"/>
  <c r="W18" i="15"/>
  <c r="X18" i="15"/>
  <c r="N38" i="15"/>
  <c r="O38" i="15"/>
  <c r="P38" i="15"/>
  <c r="Q38" i="15"/>
  <c r="R38" i="15"/>
  <c r="S38" i="15"/>
  <c r="T38" i="15"/>
  <c r="U38" i="15"/>
  <c r="V38" i="15"/>
  <c r="W38" i="15"/>
  <c r="X38" i="15"/>
  <c r="N39" i="15"/>
  <c r="O39" i="15"/>
  <c r="P39" i="15"/>
  <c r="Q39" i="15"/>
  <c r="R39" i="15"/>
  <c r="S39" i="15"/>
  <c r="T39" i="15"/>
  <c r="U39" i="15"/>
  <c r="V39" i="15"/>
  <c r="W39" i="15"/>
  <c r="X39" i="15"/>
  <c r="N41" i="15"/>
  <c r="O41" i="15"/>
  <c r="P41" i="15"/>
  <c r="Q41" i="15"/>
  <c r="R41" i="15"/>
  <c r="S41" i="15"/>
  <c r="T41" i="15"/>
  <c r="U41" i="15"/>
  <c r="V41" i="15"/>
  <c r="W41" i="15"/>
  <c r="X41" i="15"/>
  <c r="N42" i="15"/>
  <c r="O42" i="15"/>
  <c r="P42" i="15"/>
  <c r="Q42" i="15"/>
  <c r="R42" i="15"/>
  <c r="S42" i="15"/>
  <c r="T42" i="15"/>
  <c r="U42" i="15"/>
  <c r="V42" i="15"/>
  <c r="W42" i="15"/>
  <c r="X42" i="15"/>
  <c r="N43" i="15"/>
  <c r="O43" i="15"/>
  <c r="P43" i="15"/>
  <c r="Q43" i="15"/>
  <c r="R43" i="15"/>
  <c r="S43" i="15"/>
  <c r="T43" i="15"/>
  <c r="U43" i="15"/>
  <c r="V43" i="15"/>
  <c r="W43" i="15"/>
  <c r="X43" i="15"/>
  <c r="N44" i="15"/>
  <c r="O44" i="15"/>
  <c r="P44" i="15"/>
  <c r="Q44" i="15"/>
  <c r="R44" i="15"/>
  <c r="S44" i="15"/>
  <c r="T44" i="15"/>
  <c r="U44" i="15"/>
  <c r="V44" i="15"/>
  <c r="W44" i="15"/>
  <c r="X44" i="15"/>
  <c r="N45" i="15"/>
  <c r="O45" i="15"/>
  <c r="P45" i="15"/>
  <c r="Q45" i="15"/>
  <c r="R45" i="15"/>
  <c r="S45" i="15"/>
  <c r="T45" i="15"/>
  <c r="U45" i="15"/>
  <c r="V45" i="15"/>
  <c r="W45" i="15"/>
  <c r="X45" i="15"/>
  <c r="N46" i="15"/>
  <c r="O46" i="15"/>
  <c r="P46" i="15"/>
  <c r="Q46" i="15"/>
  <c r="R46" i="15"/>
  <c r="S46" i="15"/>
  <c r="T46" i="15"/>
  <c r="U46" i="15"/>
  <c r="V46" i="15"/>
  <c r="W46" i="15"/>
  <c r="X46" i="15"/>
  <c r="N48" i="15"/>
  <c r="O48" i="15"/>
  <c r="P48" i="15"/>
  <c r="Q48" i="15"/>
  <c r="R48" i="15"/>
  <c r="S48" i="15"/>
  <c r="T48" i="15"/>
  <c r="U48" i="15"/>
  <c r="V48" i="15"/>
  <c r="W48" i="15"/>
  <c r="X48" i="15"/>
  <c r="N49" i="15"/>
  <c r="O49" i="15"/>
  <c r="P49" i="15"/>
  <c r="Q49" i="15"/>
  <c r="R49" i="15"/>
  <c r="S49" i="15"/>
  <c r="T49" i="15"/>
  <c r="U49" i="15"/>
  <c r="V49" i="15"/>
  <c r="W49" i="15"/>
  <c r="X49" i="15"/>
  <c r="N50" i="15"/>
  <c r="O50" i="15"/>
  <c r="P50" i="15"/>
  <c r="Q50" i="15"/>
  <c r="R50" i="15"/>
  <c r="S50" i="15"/>
  <c r="T50" i="15"/>
  <c r="U50" i="15"/>
  <c r="V50" i="15"/>
  <c r="W50" i="15"/>
  <c r="X50" i="15"/>
  <c r="N51" i="15"/>
  <c r="O51" i="15"/>
  <c r="P51" i="15"/>
  <c r="Q51" i="15"/>
  <c r="R51" i="15"/>
  <c r="S51" i="15"/>
  <c r="T51" i="15"/>
  <c r="U51" i="15"/>
  <c r="V51" i="15"/>
  <c r="W51" i="15"/>
  <c r="X51" i="15"/>
  <c r="N52" i="15"/>
  <c r="O52" i="15"/>
  <c r="P52" i="15"/>
  <c r="Q52" i="15"/>
  <c r="R52" i="15"/>
  <c r="S52" i="15"/>
  <c r="T52" i="15"/>
  <c r="U52" i="15"/>
  <c r="V52" i="15"/>
  <c r="W52" i="15"/>
  <c r="X52" i="15"/>
  <c r="N53" i="15"/>
  <c r="O53" i="15"/>
  <c r="P53" i="15"/>
  <c r="Q53" i="15"/>
  <c r="R53" i="15"/>
  <c r="S53" i="15"/>
  <c r="T53" i="15"/>
  <c r="U53" i="15"/>
  <c r="V53" i="15"/>
  <c r="W53" i="15"/>
  <c r="X53" i="15"/>
  <c r="N54" i="15"/>
  <c r="O54" i="15"/>
  <c r="P54" i="15"/>
  <c r="Q54" i="15"/>
  <c r="R54" i="15"/>
  <c r="S54" i="15"/>
  <c r="T54" i="15"/>
  <c r="U54" i="15"/>
  <c r="V54" i="15"/>
  <c r="W54" i="15"/>
  <c r="X54" i="15"/>
  <c r="N56" i="15"/>
  <c r="O56" i="15"/>
  <c r="P56" i="15"/>
  <c r="Q56" i="15"/>
  <c r="R56" i="15"/>
  <c r="S56" i="15"/>
  <c r="T56" i="15"/>
  <c r="U56" i="15"/>
  <c r="V56" i="15"/>
  <c r="W56" i="15"/>
  <c r="X56" i="15"/>
  <c r="N57" i="15"/>
  <c r="O57" i="15"/>
  <c r="P57" i="15"/>
  <c r="Q57" i="15"/>
  <c r="R57" i="15"/>
  <c r="S57" i="15"/>
  <c r="T57" i="15"/>
  <c r="U57" i="15"/>
  <c r="V57" i="15"/>
  <c r="W57" i="15"/>
  <c r="X57" i="15"/>
  <c r="N60" i="15"/>
  <c r="O60" i="15"/>
  <c r="P60" i="15"/>
  <c r="Q60" i="15"/>
  <c r="R60" i="15"/>
  <c r="S60" i="15"/>
  <c r="T60" i="15"/>
  <c r="U60" i="15"/>
  <c r="V60" i="15"/>
  <c r="W60" i="15"/>
  <c r="X60" i="15"/>
  <c r="N62" i="15"/>
  <c r="O62" i="15"/>
  <c r="P62" i="15"/>
  <c r="Q62" i="15"/>
  <c r="R62" i="15"/>
  <c r="S62" i="15"/>
  <c r="T62" i="15"/>
  <c r="U62" i="15"/>
  <c r="V62" i="15"/>
  <c r="W62" i="15"/>
  <c r="X62" i="15"/>
  <c r="N63" i="15"/>
  <c r="O63" i="15"/>
  <c r="P63" i="15"/>
  <c r="Q63" i="15"/>
  <c r="R63" i="15"/>
  <c r="S63" i="15"/>
  <c r="T63" i="15"/>
  <c r="U63" i="15"/>
  <c r="V63" i="15"/>
  <c r="W63" i="15"/>
  <c r="X63" i="15"/>
  <c r="N65" i="15"/>
  <c r="O65" i="15"/>
  <c r="P65" i="15"/>
  <c r="Q65" i="15"/>
  <c r="R65" i="15"/>
  <c r="S65" i="15"/>
  <c r="T65" i="15"/>
  <c r="U65" i="15"/>
  <c r="V65" i="15"/>
  <c r="W65" i="15"/>
  <c r="X65" i="15"/>
  <c r="N68" i="15"/>
  <c r="O68" i="15"/>
  <c r="P68" i="15"/>
  <c r="Q68" i="15"/>
  <c r="R68" i="15"/>
  <c r="S68" i="15"/>
  <c r="T68" i="15"/>
  <c r="U68" i="15"/>
  <c r="V68" i="15"/>
  <c r="W68" i="15"/>
  <c r="X68" i="15"/>
  <c r="N69" i="15"/>
  <c r="O69" i="15"/>
  <c r="P69" i="15"/>
  <c r="Q69" i="15"/>
  <c r="R69" i="15"/>
  <c r="S69" i="15"/>
  <c r="T69" i="15"/>
  <c r="U69" i="15"/>
  <c r="V69" i="15"/>
  <c r="W69" i="15"/>
  <c r="X69" i="15"/>
  <c r="S9" i="10"/>
  <c r="T16" i="10" s="1"/>
  <c r="O80" i="12" s="1"/>
  <c r="T15" i="10"/>
  <c r="T18" i="10"/>
  <c r="T19" i="10"/>
  <c r="T20" i="10"/>
  <c r="T21" i="10"/>
  <c r="T22" i="10"/>
  <c r="T24" i="10"/>
  <c r="T26" i="10"/>
  <c r="T27" i="10"/>
  <c r="T28" i="10"/>
  <c r="T29" i="10"/>
  <c r="T30" i="10"/>
  <c r="T32" i="10"/>
  <c r="O92" i="12" s="1"/>
  <c r="T34" i="10"/>
  <c r="T35" i="10"/>
  <c r="T36" i="10"/>
  <c r="T37" i="10"/>
  <c r="T38" i="10"/>
  <c r="T40" i="10"/>
  <c r="O98" i="12" s="1"/>
  <c r="T42" i="10"/>
  <c r="T43" i="10"/>
  <c r="T44" i="10"/>
  <c r="T45" i="10"/>
  <c r="T46" i="10"/>
  <c r="T48" i="10"/>
  <c r="T50" i="10"/>
  <c r="T51" i="10"/>
  <c r="T52" i="10"/>
  <c r="T53" i="10"/>
  <c r="T54" i="10"/>
  <c r="T56" i="10"/>
  <c r="T58" i="10"/>
  <c r="T59" i="10"/>
  <c r="T60" i="10"/>
  <c r="T62" i="10"/>
  <c r="T10" i="10"/>
  <c r="I9" i="10"/>
  <c r="J9" i="10"/>
  <c r="P9" i="10" s="1"/>
  <c r="K9" i="10"/>
  <c r="L9" i="10"/>
  <c r="M9" i="10"/>
  <c r="N9" i="10"/>
  <c r="O9" i="10"/>
  <c r="P12" i="10"/>
  <c r="P13" i="10"/>
  <c r="P14" i="10"/>
  <c r="P15" i="10"/>
  <c r="P16" i="10"/>
  <c r="P18" i="10"/>
  <c r="Q18" i="10" s="1"/>
  <c r="P19" i="10"/>
  <c r="Q19" i="10" s="1"/>
  <c r="P20" i="10"/>
  <c r="P21" i="10"/>
  <c r="Q21" i="10" s="1"/>
  <c r="P22" i="10"/>
  <c r="Q22" i="10" s="1"/>
  <c r="P23" i="10"/>
  <c r="Q23" i="10" s="1"/>
  <c r="P25" i="10"/>
  <c r="P26" i="10"/>
  <c r="P27" i="10"/>
  <c r="Q27" i="10" s="1"/>
  <c r="P28" i="10"/>
  <c r="Q28" i="10" s="1"/>
  <c r="P29" i="10"/>
  <c r="P30" i="10"/>
  <c r="Q30" i="10" s="1"/>
  <c r="H91" i="12" s="1"/>
  <c r="P31" i="10"/>
  <c r="Q31" i="10" s="1"/>
  <c r="P32" i="10"/>
  <c r="Q32" i="10" s="1"/>
  <c r="P33" i="10"/>
  <c r="P34" i="10"/>
  <c r="P35" i="10"/>
  <c r="Q35" i="10" s="1"/>
  <c r="H95" i="12" s="1"/>
  <c r="H210" i="12" s="1"/>
  <c r="P36" i="10"/>
  <c r="Q36" i="10" s="1"/>
  <c r="P37" i="10"/>
  <c r="P38" i="10"/>
  <c r="Q38" i="10" s="1"/>
  <c r="P39" i="10"/>
  <c r="Q39" i="10" s="1"/>
  <c r="P40" i="10"/>
  <c r="Q40" i="10" s="1"/>
  <c r="P41" i="10"/>
  <c r="P42" i="10"/>
  <c r="P43" i="10"/>
  <c r="Q43" i="10" s="1"/>
  <c r="P44" i="10"/>
  <c r="Q44" i="10" s="1"/>
  <c r="P45" i="10"/>
  <c r="P46" i="10"/>
  <c r="Q46" i="10" s="1"/>
  <c r="P47" i="10"/>
  <c r="Q47" i="10" s="1"/>
  <c r="P48" i="10"/>
  <c r="Q48" i="10" s="1"/>
  <c r="P49" i="10"/>
  <c r="P50" i="10"/>
  <c r="P51" i="10"/>
  <c r="Q51" i="10" s="1"/>
  <c r="H104" i="12" s="1"/>
  <c r="P52" i="10"/>
  <c r="Q52" i="10" s="1"/>
  <c r="P53" i="10"/>
  <c r="P54" i="10"/>
  <c r="Q54" i="10" s="1"/>
  <c r="P55" i="10"/>
  <c r="Q55" i="10" s="1"/>
  <c r="P56" i="10"/>
  <c r="Q56" i="10" s="1"/>
  <c r="P57" i="10"/>
  <c r="P58" i="10"/>
  <c r="P59" i="10"/>
  <c r="Q59" i="10" s="1"/>
  <c r="P60" i="10"/>
  <c r="Q60" i="10" s="1"/>
  <c r="J110" i="12" s="1"/>
  <c r="P62" i="10"/>
  <c r="P10" i="10"/>
  <c r="D9" i="10"/>
  <c r="E9" i="10"/>
  <c r="G9" i="10" s="1"/>
  <c r="H47" i="10" s="1"/>
  <c r="F9" i="10"/>
  <c r="G62" i="10"/>
  <c r="G60" i="10"/>
  <c r="H60" i="10" s="1"/>
  <c r="E110" i="12" s="1"/>
  <c r="E219" i="12" s="1"/>
  <c r="G59" i="10"/>
  <c r="H59" i="10" s="1"/>
  <c r="G42" i="10"/>
  <c r="H42" i="10" s="1"/>
  <c r="G36" i="10"/>
  <c r="H36" i="10" s="1"/>
  <c r="G37" i="10"/>
  <c r="G38" i="10"/>
  <c r="H38" i="10" s="1"/>
  <c r="G39" i="10"/>
  <c r="H39" i="10" s="1"/>
  <c r="G40" i="10"/>
  <c r="G41" i="10"/>
  <c r="G43" i="10"/>
  <c r="H43" i="10"/>
  <c r="G44" i="10"/>
  <c r="G45" i="10"/>
  <c r="G46" i="10"/>
  <c r="H46" i="10" s="1"/>
  <c r="G47" i="10"/>
  <c r="G48" i="10"/>
  <c r="G49" i="10"/>
  <c r="G50" i="10"/>
  <c r="H50" i="10" s="1"/>
  <c r="G51" i="10"/>
  <c r="H51" i="10"/>
  <c r="G52" i="10"/>
  <c r="G53" i="10"/>
  <c r="G54" i="10"/>
  <c r="G55" i="10"/>
  <c r="H55" i="10"/>
  <c r="G56" i="10"/>
  <c r="G57" i="10"/>
  <c r="G58" i="10"/>
  <c r="H58" i="10" s="1"/>
  <c r="G26" i="10"/>
  <c r="H26" i="10"/>
  <c r="G27" i="10"/>
  <c r="G28" i="10"/>
  <c r="G29" i="10"/>
  <c r="H29" i="10" s="1"/>
  <c r="G30" i="10"/>
  <c r="H30" i="10"/>
  <c r="E91" i="12" s="1"/>
  <c r="G31" i="10"/>
  <c r="G32" i="10"/>
  <c r="G33" i="10"/>
  <c r="H33" i="10" s="1"/>
  <c r="G34" i="10"/>
  <c r="H34" i="10"/>
  <c r="G35" i="10"/>
  <c r="G25" i="10"/>
  <c r="G19" i="10"/>
  <c r="H19" i="10" s="1"/>
  <c r="G20" i="10"/>
  <c r="H20" i="10"/>
  <c r="G21" i="10"/>
  <c r="G22" i="10"/>
  <c r="G23" i="10"/>
  <c r="H23" i="10" s="1"/>
  <c r="G18" i="10"/>
  <c r="H18" i="10"/>
  <c r="G16" i="10"/>
  <c r="G15" i="10"/>
  <c r="G14" i="10"/>
  <c r="G13" i="10"/>
  <c r="G12" i="10"/>
  <c r="G10" i="10"/>
  <c r="R12" i="10"/>
  <c r="R13" i="10"/>
  <c r="R14" i="10"/>
  <c r="R15" i="10"/>
  <c r="R16" i="10"/>
  <c r="R18" i="10"/>
  <c r="R19" i="10"/>
  <c r="R20" i="10"/>
  <c r="R21" i="10"/>
  <c r="R22" i="10"/>
  <c r="R23" i="10"/>
  <c r="R25" i="10"/>
  <c r="R26" i="10"/>
  <c r="R27" i="10"/>
  <c r="R28" i="10"/>
  <c r="R29" i="10"/>
  <c r="R30" i="10"/>
  <c r="R31" i="10"/>
  <c r="R32" i="10"/>
  <c r="R33" i="10"/>
  <c r="R34" i="10"/>
  <c r="R35" i="10"/>
  <c r="R36" i="10"/>
  <c r="R37" i="10"/>
  <c r="R38" i="10"/>
  <c r="R39" i="10"/>
  <c r="R40" i="10"/>
  <c r="R41" i="10"/>
  <c r="R42" i="10"/>
  <c r="R43" i="10"/>
  <c r="R44" i="10"/>
  <c r="R45" i="10"/>
  <c r="R46" i="10"/>
  <c r="R47" i="10"/>
  <c r="R48" i="10"/>
  <c r="R49" i="10"/>
  <c r="R50" i="10"/>
  <c r="R51" i="10"/>
  <c r="R53" i="10"/>
  <c r="R54" i="10"/>
  <c r="R55" i="10"/>
  <c r="R56" i="10"/>
  <c r="R57" i="10"/>
  <c r="R58" i="10"/>
  <c r="R59" i="10"/>
  <c r="R60" i="10"/>
  <c r="R62" i="10"/>
  <c r="R10" i="10"/>
  <c r="O111" i="2"/>
  <c r="O112" i="2"/>
  <c r="O113" i="2"/>
  <c r="O114" i="2"/>
  <c r="O115" i="2"/>
  <c r="O116" i="2"/>
  <c r="O117" i="2"/>
  <c r="O119" i="2"/>
  <c r="E127" i="2"/>
  <c r="D127" i="2"/>
  <c r="C130" i="2"/>
  <c r="H130" i="2"/>
  <c r="C131" i="2"/>
  <c r="H131" i="2"/>
  <c r="C132" i="2"/>
  <c r="O132" i="2" s="1"/>
  <c r="H132" i="2"/>
  <c r="C133" i="2"/>
  <c r="H133" i="2" s="1"/>
  <c r="C134" i="2"/>
  <c r="H134" i="2"/>
  <c r="C135" i="2"/>
  <c r="H135" i="2"/>
  <c r="C136" i="2"/>
  <c r="H136" i="2"/>
  <c r="C137" i="2"/>
  <c r="H137" i="2" s="1"/>
  <c r="C138" i="2"/>
  <c r="H138" i="2"/>
  <c r="C139" i="2"/>
  <c r="H139" i="2"/>
  <c r="C140" i="2"/>
  <c r="O140" i="2" s="1"/>
  <c r="H140" i="2"/>
  <c r="C141" i="2"/>
  <c r="H141" i="2" s="1"/>
  <c r="C142" i="2"/>
  <c r="H142" i="2"/>
  <c r="C143" i="2"/>
  <c r="H143" i="2"/>
  <c r="C144" i="2"/>
  <c r="H144" i="2"/>
  <c r="C145" i="2"/>
  <c r="H145" i="2" s="1"/>
  <c r="C146" i="2"/>
  <c r="H146" i="2"/>
  <c r="C147" i="2"/>
  <c r="H147" i="2"/>
  <c r="C148" i="2"/>
  <c r="H148" i="2"/>
  <c r="C149" i="2"/>
  <c r="H149" i="2" s="1"/>
  <c r="C150" i="2"/>
  <c r="H150" i="2"/>
  <c r="C151" i="2"/>
  <c r="H151" i="2"/>
  <c r="C152" i="2"/>
  <c r="H152" i="2"/>
  <c r="C153" i="2"/>
  <c r="H153" i="2" s="1"/>
  <c r="C154" i="2"/>
  <c r="H154" i="2"/>
  <c r="C155" i="2"/>
  <c r="H155" i="2"/>
  <c r="C156" i="2"/>
  <c r="H156" i="2"/>
  <c r="C157" i="2"/>
  <c r="H157" i="2" s="1"/>
  <c r="C158" i="2"/>
  <c r="H158" i="2"/>
  <c r="C159" i="2"/>
  <c r="H159" i="2"/>
  <c r="C160" i="2"/>
  <c r="O160" i="2" s="1"/>
  <c r="H160" i="2"/>
  <c r="C161" i="2"/>
  <c r="H161" i="2" s="1"/>
  <c r="C162" i="2"/>
  <c r="H162" i="2"/>
  <c r="C163" i="2"/>
  <c r="H163" i="2"/>
  <c r="C164" i="2"/>
  <c r="H164" i="2"/>
  <c r="C165" i="2"/>
  <c r="H165" i="2" s="1"/>
  <c r="C166" i="2"/>
  <c r="H166" i="2"/>
  <c r="C167" i="2"/>
  <c r="H167" i="2"/>
  <c r="C168" i="2"/>
  <c r="O168" i="2" s="1"/>
  <c r="H168" i="2"/>
  <c r="C169" i="2"/>
  <c r="H169" i="2" s="1"/>
  <c r="H171" i="2"/>
  <c r="C172" i="2"/>
  <c r="C173" i="2"/>
  <c r="G174" i="2"/>
  <c r="H174" i="2"/>
  <c r="I174" i="2"/>
  <c r="C128" i="2"/>
  <c r="H128" i="2" s="1"/>
  <c r="C129" i="2"/>
  <c r="G127" i="2"/>
  <c r="I127" i="2" s="1"/>
  <c r="H129" i="2"/>
  <c r="O129" i="2"/>
  <c r="O131" i="2"/>
  <c r="O133" i="2"/>
  <c r="O134" i="2"/>
  <c r="O135" i="2"/>
  <c r="O136" i="2"/>
  <c r="O137" i="2"/>
  <c r="O138" i="2"/>
  <c r="O139" i="2"/>
  <c r="O141" i="2"/>
  <c r="O142" i="2"/>
  <c r="O143" i="2"/>
  <c r="O144" i="2"/>
  <c r="O146" i="2"/>
  <c r="O147" i="2"/>
  <c r="O148" i="2"/>
  <c r="O150" i="2"/>
  <c r="O151" i="2"/>
  <c r="O152" i="2"/>
  <c r="O153" i="2"/>
  <c r="O154" i="2"/>
  <c r="O155" i="2"/>
  <c r="O157" i="2"/>
  <c r="O158" i="2"/>
  <c r="O159" i="2"/>
  <c r="O161" i="2"/>
  <c r="O162" i="2"/>
  <c r="O163" i="2"/>
  <c r="O164" i="2"/>
  <c r="O165" i="2"/>
  <c r="O166" i="2"/>
  <c r="O167" i="2"/>
  <c r="O169" i="2"/>
  <c r="O171" i="2"/>
  <c r="O172" i="2"/>
  <c r="O173"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C101" i="2"/>
  <c r="H101" i="2" s="1"/>
  <c r="C102" i="2"/>
  <c r="H102" i="2" s="1"/>
  <c r="C103" i="2"/>
  <c r="H103" i="2" s="1"/>
  <c r="C104" i="2"/>
  <c r="H104" i="2" s="1"/>
  <c r="C105" i="2"/>
  <c r="H105" i="2" s="1"/>
  <c r="C106" i="2"/>
  <c r="H106" i="2" s="1"/>
  <c r="C107" i="2"/>
  <c r="H107" i="2" s="1"/>
  <c r="C108" i="2"/>
  <c r="H108" i="2" s="1"/>
  <c r="C109" i="2"/>
  <c r="H109" i="2" s="1"/>
  <c r="C110" i="2"/>
  <c r="H110" i="2" s="1"/>
  <c r="C111" i="2"/>
  <c r="H111" i="2" s="1"/>
  <c r="C112" i="2"/>
  <c r="H112" i="2" s="1"/>
  <c r="C113" i="2"/>
  <c r="H113" i="2" s="1"/>
  <c r="C114" i="2"/>
  <c r="H114" i="2" s="1"/>
  <c r="C115" i="2"/>
  <c r="H115" i="2" s="1"/>
  <c r="C116" i="2"/>
  <c r="H116" i="2" s="1"/>
  <c r="C117" i="2"/>
  <c r="H117" i="2" s="1"/>
  <c r="C118" i="2"/>
  <c r="H118" i="2" s="1"/>
  <c r="C119" i="2"/>
  <c r="H119" i="2" s="1"/>
  <c r="J119" i="2"/>
  <c r="J101" i="2"/>
  <c r="J102" i="2"/>
  <c r="J103" i="2"/>
  <c r="J104" i="2"/>
  <c r="J105" i="2"/>
  <c r="J106" i="2"/>
  <c r="J107" i="2"/>
  <c r="J108" i="2"/>
  <c r="J109" i="2"/>
  <c r="J110" i="2"/>
  <c r="J111" i="2"/>
  <c r="J112" i="2"/>
  <c r="J113" i="2"/>
  <c r="J114" i="2"/>
  <c r="J115" i="2"/>
  <c r="J116" i="2"/>
  <c r="J117" i="2"/>
  <c r="J118" i="2"/>
  <c r="J100" i="2"/>
  <c r="C100" i="2"/>
  <c r="H100" i="2" s="1"/>
  <c r="O9" i="12"/>
  <c r="O18" i="12" s="1"/>
  <c r="O10" i="12"/>
  <c r="O19" i="12" s="1"/>
  <c r="O11" i="12"/>
  <c r="O20" i="12" s="1"/>
  <c r="O12" i="12"/>
  <c r="O21" i="12" s="1"/>
  <c r="O75" i="12"/>
  <c r="O79" i="12"/>
  <c r="O81" i="12"/>
  <c r="O82" i="12"/>
  <c r="O83" i="12"/>
  <c r="O84" i="12"/>
  <c r="O85" i="12"/>
  <c r="O88" i="12"/>
  <c r="O89" i="12"/>
  <c r="O90" i="12"/>
  <c r="O91" i="12"/>
  <c r="O94" i="12"/>
  <c r="O95" i="12"/>
  <c r="O210" i="12" s="1"/>
  <c r="O96" i="12"/>
  <c r="O100" i="12"/>
  <c r="O101" i="12"/>
  <c r="O103" i="12"/>
  <c r="O104" i="12"/>
  <c r="O105" i="12"/>
  <c r="O215" i="12" s="1"/>
  <c r="O106" i="12"/>
  <c r="O109" i="12"/>
  <c r="O110" i="12"/>
  <c r="O111" i="12"/>
  <c r="F10" i="12"/>
  <c r="F19" i="12" s="1"/>
  <c r="G10" i="12"/>
  <c r="G19" i="12" s="1"/>
  <c r="H10" i="12"/>
  <c r="H19" i="12" s="1"/>
  <c r="I10" i="12"/>
  <c r="I19" i="12" s="1"/>
  <c r="J10" i="12"/>
  <c r="J19" i="12" s="1"/>
  <c r="K10" i="12"/>
  <c r="K19" i="12" s="1"/>
  <c r="L10" i="12"/>
  <c r="L19" i="12" s="1"/>
  <c r="M10" i="12"/>
  <c r="M19" i="12" s="1"/>
  <c r="N10" i="12"/>
  <c r="N19" i="12" s="1"/>
  <c r="F11" i="12"/>
  <c r="F20" i="12" s="1"/>
  <c r="G11" i="12"/>
  <c r="G20" i="12" s="1"/>
  <c r="H11" i="12"/>
  <c r="H20" i="12" s="1"/>
  <c r="I11" i="12"/>
  <c r="I20" i="12" s="1"/>
  <c r="J11" i="12"/>
  <c r="J20" i="12" s="1"/>
  <c r="K11" i="12"/>
  <c r="K20" i="12" s="1"/>
  <c r="L11" i="12"/>
  <c r="L20" i="12" s="1"/>
  <c r="M11" i="12"/>
  <c r="M20" i="12" s="1"/>
  <c r="N11" i="12"/>
  <c r="N20" i="12" s="1"/>
  <c r="F12" i="12"/>
  <c r="F21" i="12" s="1"/>
  <c r="G12" i="12"/>
  <c r="G21" i="12" s="1"/>
  <c r="H12" i="12"/>
  <c r="H21" i="12" s="1"/>
  <c r="I12" i="12"/>
  <c r="I21" i="12" s="1"/>
  <c r="J12" i="12"/>
  <c r="J21" i="12" s="1"/>
  <c r="K12" i="12"/>
  <c r="K21" i="12" s="1"/>
  <c r="L12" i="12"/>
  <c r="L21" i="12" s="1"/>
  <c r="M12" i="12"/>
  <c r="M21" i="12" s="1"/>
  <c r="N12" i="12"/>
  <c r="N21" i="12" s="1"/>
  <c r="P75" i="12"/>
  <c r="P76" i="12"/>
  <c r="P77" i="12"/>
  <c r="P78" i="12"/>
  <c r="P79" i="12"/>
  <c r="P80" i="12"/>
  <c r="F81" i="12"/>
  <c r="P81" i="12"/>
  <c r="L84" i="12"/>
  <c r="P84" i="12"/>
  <c r="J85" i="12"/>
  <c r="P85" i="12"/>
  <c r="H86" i="12"/>
  <c r="P86" i="12"/>
  <c r="P87" i="12"/>
  <c r="L92" i="12"/>
  <c r="P92" i="12"/>
  <c r="J96" i="12"/>
  <c r="P96" i="12"/>
  <c r="P99" i="12"/>
  <c r="F100" i="12"/>
  <c r="P100" i="12"/>
  <c r="L102" i="12"/>
  <c r="P102" i="12"/>
  <c r="P103" i="12"/>
  <c r="P109" i="12"/>
  <c r="P111" i="12"/>
  <c r="L82" i="12"/>
  <c r="P82" i="12"/>
  <c r="P203" i="12" s="1"/>
  <c r="P83" i="12"/>
  <c r="P88" i="12"/>
  <c r="P205" i="12" s="1"/>
  <c r="N89" i="12"/>
  <c r="P89" i="12"/>
  <c r="P206" i="12" s="1"/>
  <c r="P90" i="12"/>
  <c r="P207" i="12" s="1"/>
  <c r="P93" i="12"/>
  <c r="P208" i="12" s="1"/>
  <c r="P94" i="12"/>
  <c r="P209" i="12" s="1"/>
  <c r="P95" i="12"/>
  <c r="P210" i="12" s="1"/>
  <c r="F97" i="12"/>
  <c r="L97" i="12"/>
  <c r="N97" i="12"/>
  <c r="P97" i="12"/>
  <c r="P211" i="12" s="1"/>
  <c r="J98" i="12"/>
  <c r="L98" i="12"/>
  <c r="M98" i="12"/>
  <c r="P98" i="12"/>
  <c r="P101" i="12"/>
  <c r="P213" i="12" s="1"/>
  <c r="F104" i="12"/>
  <c r="P104" i="12"/>
  <c r="P214" i="12" s="1"/>
  <c r="P105" i="12"/>
  <c r="P215" i="12" s="1"/>
  <c r="J106" i="12"/>
  <c r="L106" i="12"/>
  <c r="M106" i="12"/>
  <c r="N106" i="12"/>
  <c r="P106" i="12"/>
  <c r="P216" i="12" s="1"/>
  <c r="G107" i="12"/>
  <c r="H107" i="12"/>
  <c r="I107" i="12"/>
  <c r="J107" i="12"/>
  <c r="K107" i="12"/>
  <c r="L107" i="12"/>
  <c r="P107" i="12"/>
  <c r="P217" i="12" s="1"/>
  <c r="P108" i="12"/>
  <c r="P218" i="12" s="1"/>
  <c r="H110" i="12"/>
  <c r="H219" i="12" s="1"/>
  <c r="I110" i="12"/>
  <c r="I219" i="12" s="1"/>
  <c r="K110" i="12"/>
  <c r="K219" i="12" s="1"/>
  <c r="L110" i="12"/>
  <c r="L219" i="12" s="1"/>
  <c r="M110" i="12"/>
  <c r="M219" i="12" s="1"/>
  <c r="N110" i="12"/>
  <c r="N219" i="12" s="1"/>
  <c r="P110" i="12"/>
  <c r="P219" i="12" s="1"/>
  <c r="G91" i="12"/>
  <c r="G9" i="12"/>
  <c r="G18" i="12" s="1"/>
  <c r="H9" i="12"/>
  <c r="H18" i="12" s="1"/>
  <c r="I91" i="12"/>
  <c r="I9" i="12"/>
  <c r="I18" i="12" s="1"/>
  <c r="J91" i="12"/>
  <c r="J9" i="12"/>
  <c r="J18" i="12" s="1"/>
  <c r="K91" i="12"/>
  <c r="K9" i="12"/>
  <c r="K18" i="12" s="1"/>
  <c r="L91" i="12"/>
  <c r="L9" i="12"/>
  <c r="L18" i="12" s="1"/>
  <c r="M91" i="12"/>
  <c r="M9" i="12"/>
  <c r="M18" i="12" s="1"/>
  <c r="N91" i="12"/>
  <c r="N9" i="12"/>
  <c r="N18" i="12" s="1"/>
  <c r="P91" i="12"/>
  <c r="F9" i="12"/>
  <c r="F18" i="12" s="1"/>
  <c r="F91" i="12"/>
  <c r="C10" i="10"/>
  <c r="C12" i="10"/>
  <c r="C13" i="10"/>
  <c r="C14" i="10"/>
  <c r="C15" i="10"/>
  <c r="C16" i="10"/>
  <c r="C18" i="10"/>
  <c r="C19" i="10"/>
  <c r="C20" i="10"/>
  <c r="C21" i="10"/>
  <c r="C22" i="10"/>
  <c r="C23" i="10"/>
  <c r="C25" i="10"/>
  <c r="C26" i="10"/>
  <c r="C28" i="10"/>
  <c r="C29" i="10"/>
  <c r="C30" i="10"/>
  <c r="C32" i="10"/>
  <c r="C33" i="10"/>
  <c r="C34" i="10"/>
  <c r="C35" i="10"/>
  <c r="C37" i="10"/>
  <c r="C38" i="10"/>
  <c r="C39" i="10"/>
  <c r="C40" i="10"/>
  <c r="C41" i="10"/>
  <c r="C42" i="10"/>
  <c r="C45" i="10"/>
  <c r="C46" i="10"/>
  <c r="C47" i="10"/>
  <c r="C50" i="10"/>
  <c r="C51" i="10"/>
  <c r="C53" i="10"/>
  <c r="C54" i="10"/>
  <c r="C55" i="10"/>
  <c r="C57" i="10"/>
  <c r="C59" i="10"/>
  <c r="C60" i="10"/>
  <c r="C62" i="10"/>
  <c r="N58" i="15"/>
  <c r="O58" i="15"/>
  <c r="P58" i="15"/>
  <c r="Q58" i="15"/>
  <c r="R58" i="15"/>
  <c r="S58" i="15"/>
  <c r="T58" i="15"/>
  <c r="U58" i="15"/>
  <c r="V58" i="15"/>
  <c r="W58" i="15"/>
  <c r="X58" i="15"/>
  <c r="N59" i="15"/>
  <c r="O59" i="15"/>
  <c r="P59" i="15"/>
  <c r="Q59" i="15"/>
  <c r="R59" i="15"/>
  <c r="S59" i="15"/>
  <c r="T59" i="15"/>
  <c r="U59" i="15"/>
  <c r="V59" i="15"/>
  <c r="W59" i="15"/>
  <c r="X59" i="15"/>
  <c r="N61" i="15"/>
  <c r="O61" i="15"/>
  <c r="P61" i="15"/>
  <c r="Q61" i="15"/>
  <c r="R61" i="15"/>
  <c r="S61" i="15"/>
  <c r="T61" i="15"/>
  <c r="U61" i="15"/>
  <c r="V61" i="15"/>
  <c r="W61" i="15"/>
  <c r="X61" i="15"/>
  <c r="N66" i="15"/>
  <c r="O66" i="15"/>
  <c r="P66" i="15"/>
  <c r="Q66" i="15"/>
  <c r="R66" i="15"/>
  <c r="S66" i="15"/>
  <c r="T66" i="15"/>
  <c r="U66" i="15"/>
  <c r="V66" i="15"/>
  <c r="W66" i="15"/>
  <c r="X66" i="15"/>
  <c r="N67" i="15"/>
  <c r="O67" i="15"/>
  <c r="P67" i="15"/>
  <c r="Q67" i="15"/>
  <c r="R67" i="15"/>
  <c r="S67" i="15"/>
  <c r="T67" i="15"/>
  <c r="U67" i="15"/>
  <c r="V67" i="15"/>
  <c r="W67" i="15"/>
  <c r="X67" i="15"/>
  <c r="N23" i="15"/>
  <c r="O23" i="15"/>
  <c r="P23" i="15"/>
  <c r="Q23" i="15"/>
  <c r="R23" i="15"/>
  <c r="S23" i="15"/>
  <c r="T23" i="15"/>
  <c r="U23" i="15"/>
  <c r="V23" i="15"/>
  <c r="W23" i="15"/>
  <c r="X23" i="15"/>
  <c r="N24" i="15"/>
  <c r="O24" i="15"/>
  <c r="P24" i="15"/>
  <c r="Q24" i="15"/>
  <c r="R24" i="15"/>
  <c r="S24" i="15"/>
  <c r="T24" i="15"/>
  <c r="U24" i="15"/>
  <c r="V24" i="15"/>
  <c r="W24" i="15"/>
  <c r="X24" i="15"/>
  <c r="N25" i="15"/>
  <c r="O25" i="15"/>
  <c r="P25" i="15"/>
  <c r="Q25" i="15"/>
  <c r="R25" i="15"/>
  <c r="S25" i="15"/>
  <c r="T25" i="15"/>
  <c r="U25" i="15"/>
  <c r="V25" i="15"/>
  <c r="W25" i="15"/>
  <c r="X25" i="15"/>
  <c r="N26" i="15"/>
  <c r="O26" i="15"/>
  <c r="P26" i="15"/>
  <c r="Q26" i="15"/>
  <c r="R26" i="15"/>
  <c r="S26" i="15"/>
  <c r="T26" i="15"/>
  <c r="U26" i="15"/>
  <c r="V26" i="15"/>
  <c r="W26" i="15"/>
  <c r="X26" i="15"/>
  <c r="N27" i="15"/>
  <c r="O27" i="15"/>
  <c r="P27" i="15"/>
  <c r="Q27" i="15"/>
  <c r="R27" i="15"/>
  <c r="S27" i="15"/>
  <c r="T27" i="15"/>
  <c r="U27" i="15"/>
  <c r="V27" i="15"/>
  <c r="W27" i="15"/>
  <c r="X27" i="15"/>
  <c r="N28" i="15"/>
  <c r="O28" i="15"/>
  <c r="P28" i="15"/>
  <c r="Q28" i="15"/>
  <c r="R28" i="15"/>
  <c r="S28" i="15"/>
  <c r="T28" i="15"/>
  <c r="U28" i="15"/>
  <c r="V28" i="15"/>
  <c r="W28" i="15"/>
  <c r="X28" i="15"/>
  <c r="N29" i="15"/>
  <c r="O29" i="15"/>
  <c r="P29" i="15"/>
  <c r="Q29" i="15"/>
  <c r="R29" i="15"/>
  <c r="S29" i="15"/>
  <c r="T29" i="15"/>
  <c r="U29" i="15"/>
  <c r="V29" i="15"/>
  <c r="W29" i="15"/>
  <c r="X29" i="15"/>
  <c r="N22" i="15"/>
  <c r="O22" i="15"/>
  <c r="P22" i="15"/>
  <c r="Q22" i="15"/>
  <c r="R22" i="15"/>
  <c r="S22" i="15"/>
  <c r="T22" i="15"/>
  <c r="U22" i="15"/>
  <c r="V22" i="15"/>
  <c r="W22" i="15"/>
  <c r="X22" i="15"/>
  <c r="N17" i="15"/>
  <c r="O17" i="15"/>
  <c r="P17" i="15"/>
  <c r="Q17" i="15"/>
  <c r="R17" i="15"/>
  <c r="S17" i="15"/>
  <c r="T17" i="15"/>
  <c r="U17" i="15"/>
  <c r="V17" i="15"/>
  <c r="W17" i="15"/>
  <c r="X17" i="15"/>
  <c r="N27" i="14"/>
  <c r="Y27" i="14" s="1"/>
  <c r="O27" i="14"/>
  <c r="P27" i="14"/>
  <c r="Q27" i="14"/>
  <c r="R27" i="14"/>
  <c r="S27" i="14"/>
  <c r="T27" i="14"/>
  <c r="U27" i="14"/>
  <c r="V27" i="14"/>
  <c r="W27" i="14"/>
  <c r="X27" i="14"/>
  <c r="AL27" i="14"/>
  <c r="AW27" i="14" s="1"/>
  <c r="AM27" i="14"/>
  <c r="AN27" i="14"/>
  <c r="AO27" i="14"/>
  <c r="AP27" i="14"/>
  <c r="AQ27" i="14"/>
  <c r="AR27" i="14"/>
  <c r="AS27" i="14"/>
  <c r="AT27" i="14"/>
  <c r="AU27" i="14"/>
  <c r="AV27" i="14"/>
  <c r="N28" i="14"/>
  <c r="Y28" i="14" s="1"/>
  <c r="O28" i="14"/>
  <c r="P28" i="14"/>
  <c r="Q28" i="14"/>
  <c r="R28" i="14"/>
  <c r="S28" i="14"/>
  <c r="T28" i="14"/>
  <c r="U28" i="14"/>
  <c r="V28" i="14"/>
  <c r="W28" i="14"/>
  <c r="X28" i="14"/>
  <c r="AL28" i="14"/>
  <c r="AW28" i="14" s="1"/>
  <c r="AM28" i="14"/>
  <c r="AN28" i="14"/>
  <c r="AO28" i="14"/>
  <c r="AP28" i="14"/>
  <c r="AQ28" i="14"/>
  <c r="AR28" i="14"/>
  <c r="AS28" i="14"/>
  <c r="AT28" i="14"/>
  <c r="AU28" i="14"/>
  <c r="AV28" i="14"/>
  <c r="N39" i="14"/>
  <c r="Y39" i="14" s="1"/>
  <c r="O39" i="14"/>
  <c r="P39" i="14"/>
  <c r="Q39" i="14"/>
  <c r="R39" i="14"/>
  <c r="S39" i="14"/>
  <c r="T39" i="14"/>
  <c r="U39" i="14"/>
  <c r="V39" i="14"/>
  <c r="W39" i="14"/>
  <c r="X39" i="14"/>
  <c r="AL39" i="14"/>
  <c r="AW39" i="14" s="1"/>
  <c r="AM39" i="14"/>
  <c r="AN39" i="14"/>
  <c r="AO39" i="14"/>
  <c r="AP39" i="14"/>
  <c r="AQ39" i="14"/>
  <c r="AR39" i="14"/>
  <c r="AS39" i="14"/>
  <c r="AT39" i="14"/>
  <c r="AU39" i="14"/>
  <c r="AV39" i="14"/>
  <c r="N40" i="14"/>
  <c r="Y40" i="14" s="1"/>
  <c r="O40" i="14"/>
  <c r="P40" i="14"/>
  <c r="Q40" i="14"/>
  <c r="R40" i="14"/>
  <c r="S40" i="14"/>
  <c r="T40" i="14"/>
  <c r="U40" i="14"/>
  <c r="V40" i="14"/>
  <c r="W40" i="14"/>
  <c r="X40" i="14"/>
  <c r="AL40" i="14"/>
  <c r="AW40" i="14" s="1"/>
  <c r="AM40" i="14"/>
  <c r="AN40" i="14"/>
  <c r="AO40" i="14"/>
  <c r="AP40" i="14"/>
  <c r="AQ40" i="14"/>
  <c r="AR40" i="14"/>
  <c r="AS40" i="14"/>
  <c r="AT40" i="14"/>
  <c r="AU40" i="14"/>
  <c r="AV40" i="14"/>
  <c r="N51" i="14"/>
  <c r="Y51" i="14" s="1"/>
  <c r="O51" i="14"/>
  <c r="P51" i="14"/>
  <c r="Q51" i="14"/>
  <c r="R51" i="14"/>
  <c r="S51" i="14"/>
  <c r="T51" i="14"/>
  <c r="U51" i="14"/>
  <c r="V51" i="14"/>
  <c r="W51" i="14"/>
  <c r="X51" i="14"/>
  <c r="AL51" i="14"/>
  <c r="AW51" i="14" s="1"/>
  <c r="AM51" i="14"/>
  <c r="AN51" i="14"/>
  <c r="AO51" i="14"/>
  <c r="AP51" i="14"/>
  <c r="AQ51" i="14"/>
  <c r="AR51" i="14"/>
  <c r="AS51" i="14"/>
  <c r="AT51" i="14"/>
  <c r="AU51" i="14"/>
  <c r="AV51" i="14"/>
  <c r="N57" i="14"/>
  <c r="Y57" i="14" s="1"/>
  <c r="O57" i="14"/>
  <c r="P57" i="14"/>
  <c r="Q57" i="14"/>
  <c r="R57" i="14"/>
  <c r="S57" i="14"/>
  <c r="T57" i="14"/>
  <c r="U57" i="14"/>
  <c r="V57" i="14"/>
  <c r="W57" i="14"/>
  <c r="X57" i="14"/>
  <c r="AL57" i="14"/>
  <c r="AW57" i="14" s="1"/>
  <c r="AM57" i="14"/>
  <c r="AN57" i="14"/>
  <c r="AO57" i="14"/>
  <c r="AP57" i="14"/>
  <c r="AQ57" i="14"/>
  <c r="AR57" i="14"/>
  <c r="AS57" i="14"/>
  <c r="AT57" i="14"/>
  <c r="AU57" i="14"/>
  <c r="AV57" i="14"/>
  <c r="N61" i="14"/>
  <c r="Y61" i="14" s="1"/>
  <c r="O61" i="14"/>
  <c r="P61" i="14"/>
  <c r="Q61" i="14"/>
  <c r="R61" i="14"/>
  <c r="S61" i="14"/>
  <c r="T61" i="14"/>
  <c r="U61" i="14"/>
  <c r="V61" i="14"/>
  <c r="W61" i="14"/>
  <c r="X61" i="14"/>
  <c r="AL61" i="14"/>
  <c r="AW61" i="14" s="1"/>
  <c r="AM61" i="14"/>
  <c r="AN61" i="14"/>
  <c r="AO61" i="14"/>
  <c r="AP61" i="14"/>
  <c r="AQ61" i="14"/>
  <c r="AR61" i="14"/>
  <c r="AS61" i="14"/>
  <c r="AT61" i="14"/>
  <c r="AU61" i="14"/>
  <c r="AV61" i="14"/>
  <c r="N63" i="14"/>
  <c r="Y63" i="14" s="1"/>
  <c r="O63" i="14"/>
  <c r="P63" i="14"/>
  <c r="Q63" i="14"/>
  <c r="R63" i="14"/>
  <c r="S63" i="14"/>
  <c r="T63" i="14"/>
  <c r="U63" i="14"/>
  <c r="V63" i="14"/>
  <c r="W63" i="14"/>
  <c r="X63" i="14"/>
  <c r="AL63" i="14"/>
  <c r="AW63" i="14" s="1"/>
  <c r="AM63" i="14"/>
  <c r="AN63" i="14"/>
  <c r="AO63" i="14"/>
  <c r="AP63" i="14"/>
  <c r="AQ63" i="14"/>
  <c r="AR63" i="14"/>
  <c r="AS63" i="14"/>
  <c r="AT63" i="14"/>
  <c r="AU63" i="14"/>
  <c r="AV63" i="14"/>
  <c r="AL26" i="14"/>
  <c r="AW26" i="14" s="1"/>
  <c r="AM26" i="14"/>
  <c r="AN26" i="14"/>
  <c r="AO26" i="14"/>
  <c r="AP26" i="14"/>
  <c r="AQ26" i="14"/>
  <c r="AR26" i="14"/>
  <c r="AS26" i="14"/>
  <c r="AT26" i="14"/>
  <c r="AU26" i="14"/>
  <c r="AV26" i="14"/>
  <c r="AL30" i="14"/>
  <c r="AW30" i="14" s="1"/>
  <c r="AM30" i="14"/>
  <c r="AN30" i="14"/>
  <c r="AO30" i="14"/>
  <c r="AP30" i="14"/>
  <c r="AQ30" i="14"/>
  <c r="AR30" i="14"/>
  <c r="AS30" i="14"/>
  <c r="AT30" i="14"/>
  <c r="AU30" i="14"/>
  <c r="AV30" i="14"/>
  <c r="AL34" i="14"/>
  <c r="AW34" i="14" s="1"/>
  <c r="AM34" i="14"/>
  <c r="AN34" i="14"/>
  <c r="AO34" i="14"/>
  <c r="AP34" i="14"/>
  <c r="AQ34" i="14"/>
  <c r="AR34" i="14"/>
  <c r="AS34" i="14"/>
  <c r="AT34" i="14"/>
  <c r="AU34" i="14"/>
  <c r="AV34" i="14"/>
  <c r="AL38" i="14"/>
  <c r="AW38" i="14" s="1"/>
  <c r="AM38" i="14"/>
  <c r="AN38" i="14"/>
  <c r="AO38" i="14"/>
  <c r="AP38" i="14"/>
  <c r="AQ38" i="14"/>
  <c r="AR38" i="14"/>
  <c r="AS38" i="14"/>
  <c r="AT38" i="14"/>
  <c r="AU38" i="14"/>
  <c r="AV38" i="14"/>
  <c r="AL46" i="14"/>
  <c r="AW46" i="14" s="1"/>
  <c r="AM46" i="14"/>
  <c r="AN46" i="14"/>
  <c r="AO46" i="14"/>
  <c r="AP46" i="14"/>
  <c r="AQ46" i="14"/>
  <c r="AR46" i="14"/>
  <c r="AS46" i="14"/>
  <c r="AT46" i="14"/>
  <c r="AU46" i="14"/>
  <c r="AV46" i="14"/>
  <c r="AL47" i="14"/>
  <c r="AW47" i="14" s="1"/>
  <c r="AM47" i="14"/>
  <c r="AN47" i="14"/>
  <c r="AO47" i="14"/>
  <c r="AP47" i="14"/>
  <c r="AQ47" i="14"/>
  <c r="AR47" i="14"/>
  <c r="AS47" i="14"/>
  <c r="AT47" i="14"/>
  <c r="AU47" i="14"/>
  <c r="AV47" i="14"/>
  <c r="AL49" i="14"/>
  <c r="AW49" i="14" s="1"/>
  <c r="AM49" i="14"/>
  <c r="AN49" i="14"/>
  <c r="AO49" i="14"/>
  <c r="AP49" i="14"/>
  <c r="AQ49" i="14"/>
  <c r="AR49" i="14"/>
  <c r="AS49" i="14"/>
  <c r="AT49" i="14"/>
  <c r="AU49" i="14"/>
  <c r="AV49" i="14"/>
  <c r="AL52" i="14"/>
  <c r="AW52" i="14" s="1"/>
  <c r="AM52" i="14"/>
  <c r="AN52" i="14"/>
  <c r="AO52" i="14"/>
  <c r="AP52" i="14"/>
  <c r="AQ52" i="14"/>
  <c r="AR52" i="14"/>
  <c r="AS52" i="14"/>
  <c r="AT52" i="14"/>
  <c r="AU52" i="14"/>
  <c r="AV52" i="14"/>
  <c r="AL53" i="14"/>
  <c r="AW53" i="14" s="1"/>
  <c r="AM53" i="14"/>
  <c r="AN53" i="14"/>
  <c r="AO53" i="14"/>
  <c r="AP53" i="14"/>
  <c r="AQ53" i="14"/>
  <c r="AR53" i="14"/>
  <c r="AS53" i="14"/>
  <c r="AT53" i="14"/>
  <c r="AU53" i="14"/>
  <c r="AV53" i="14"/>
  <c r="AL56" i="14"/>
  <c r="AW56" i="14" s="1"/>
  <c r="AM56" i="14"/>
  <c r="AN56" i="14"/>
  <c r="AO56" i="14"/>
  <c r="AP56" i="14"/>
  <c r="AQ56" i="14"/>
  <c r="AR56" i="14"/>
  <c r="AS56" i="14"/>
  <c r="AT56" i="14"/>
  <c r="AU56" i="14"/>
  <c r="AV56" i="14"/>
  <c r="N26" i="14"/>
  <c r="Y26" i="14" s="1"/>
  <c r="O26" i="14"/>
  <c r="P26" i="14"/>
  <c r="Q26" i="14"/>
  <c r="R26" i="14"/>
  <c r="S26" i="14"/>
  <c r="T26" i="14"/>
  <c r="U26" i="14"/>
  <c r="V26" i="14"/>
  <c r="W26" i="14"/>
  <c r="X26" i="14"/>
  <c r="N30" i="14"/>
  <c r="O30" i="14"/>
  <c r="P30" i="14"/>
  <c r="Q30" i="14"/>
  <c r="R30" i="14"/>
  <c r="S30" i="14"/>
  <c r="Y30" i="14" s="1"/>
  <c r="T30" i="14"/>
  <c r="U30" i="14"/>
  <c r="V30" i="14"/>
  <c r="W30" i="14"/>
  <c r="X30" i="14"/>
  <c r="N34" i="14"/>
  <c r="O34" i="14"/>
  <c r="P34" i="14"/>
  <c r="Y34" i="14" s="1"/>
  <c r="Q34" i="14"/>
  <c r="R34" i="14"/>
  <c r="S34" i="14"/>
  <c r="T34" i="14"/>
  <c r="U34" i="14"/>
  <c r="V34" i="14"/>
  <c r="W34" i="14"/>
  <c r="X34" i="14"/>
  <c r="N38" i="14"/>
  <c r="Y38" i="14" s="1"/>
  <c r="O38" i="14"/>
  <c r="P38" i="14"/>
  <c r="Q38" i="14"/>
  <c r="R38" i="14"/>
  <c r="S38" i="14"/>
  <c r="T38" i="14"/>
  <c r="U38" i="14"/>
  <c r="V38" i="14"/>
  <c r="W38" i="14"/>
  <c r="X38" i="14"/>
  <c r="N46" i="14"/>
  <c r="Y46" i="14" s="1"/>
  <c r="O46" i="14"/>
  <c r="P46" i="14"/>
  <c r="Q46" i="14"/>
  <c r="R46" i="14"/>
  <c r="S46" i="14"/>
  <c r="T46" i="14"/>
  <c r="U46" i="14"/>
  <c r="V46" i="14"/>
  <c r="W46" i="14"/>
  <c r="X46" i="14"/>
  <c r="N47" i="14"/>
  <c r="O47" i="14"/>
  <c r="P47" i="14"/>
  <c r="Q47" i="14"/>
  <c r="R47" i="14"/>
  <c r="S47" i="14"/>
  <c r="T47" i="14"/>
  <c r="U47" i="14"/>
  <c r="V47" i="14"/>
  <c r="W47" i="14"/>
  <c r="X47" i="14"/>
  <c r="N49" i="14"/>
  <c r="O49" i="14"/>
  <c r="P49" i="14"/>
  <c r="Y49" i="14" s="1"/>
  <c r="Q49" i="14"/>
  <c r="R49" i="14"/>
  <c r="S49" i="14"/>
  <c r="T49" i="14"/>
  <c r="U49" i="14"/>
  <c r="V49" i="14"/>
  <c r="W49" i="14"/>
  <c r="X49" i="14"/>
  <c r="N53" i="14"/>
  <c r="Y53" i="14" s="1"/>
  <c r="O53" i="14"/>
  <c r="P53" i="14"/>
  <c r="Q53" i="14"/>
  <c r="R53" i="14"/>
  <c r="S53" i="14"/>
  <c r="T53" i="14"/>
  <c r="U53" i="14"/>
  <c r="V53" i="14"/>
  <c r="W53" i="14"/>
  <c r="X53" i="14"/>
  <c r="N56" i="14"/>
  <c r="Y56" i="14" s="1"/>
  <c r="O56" i="14"/>
  <c r="P56" i="14"/>
  <c r="Q56" i="14"/>
  <c r="R56" i="14"/>
  <c r="S56" i="14"/>
  <c r="T56" i="14"/>
  <c r="U56" i="14"/>
  <c r="V56" i="14"/>
  <c r="W56" i="14"/>
  <c r="X56" i="14"/>
  <c r="Y47" i="14"/>
  <c r="D5" i="17"/>
  <c r="Q12" i="10" s="1"/>
  <c r="D6" i="17"/>
  <c r="D7" i="17"/>
  <c r="H13" i="10" s="1"/>
  <c r="D11" i="17"/>
  <c r="B18" i="13"/>
  <c r="B19" i="13"/>
  <c r="P25" i="12" s="1"/>
  <c r="B20" i="13"/>
  <c r="P26" i="12" s="1"/>
  <c r="B21" i="13"/>
  <c r="P27" i="12" s="1"/>
  <c r="P156" i="12" s="1"/>
  <c r="B22" i="13"/>
  <c r="P28" i="12" s="1"/>
  <c r="B23" i="13"/>
  <c r="P29" i="12" s="1"/>
  <c r="P158" i="12" s="1"/>
  <c r="B24" i="13"/>
  <c r="P30" i="12" s="1"/>
  <c r="E5" i="12"/>
  <c r="D5" i="12" s="1"/>
  <c r="D6" i="12"/>
  <c r="G121" i="2"/>
  <c r="H121" i="2"/>
  <c r="I121" i="2"/>
  <c r="B62" i="2"/>
  <c r="B61" i="2"/>
  <c r="B60" i="2"/>
  <c r="B59" i="2"/>
  <c r="B58" i="2"/>
  <c r="B57" i="2"/>
  <c r="B56" i="2"/>
  <c r="B55" i="2"/>
  <c r="B54" i="2"/>
  <c r="B52" i="2"/>
  <c r="B51" i="2"/>
  <c r="B50" i="2"/>
  <c r="B49" i="2"/>
  <c r="B48" i="2"/>
  <c r="B47" i="2"/>
  <c r="B46" i="2"/>
  <c r="B45" i="2"/>
  <c r="B44" i="2"/>
  <c r="B40" i="2"/>
  <c r="B25" i="2"/>
  <c r="B26" i="2"/>
  <c r="B27" i="2"/>
  <c r="B28" i="2"/>
  <c r="B29" i="2"/>
  <c r="B30" i="2"/>
  <c r="B31" i="2"/>
  <c r="B33" i="2"/>
  <c r="B34" i="2"/>
  <c r="B35" i="2"/>
  <c r="B36" i="2"/>
  <c r="B37" i="2"/>
  <c r="B38" i="2"/>
  <c r="B39" i="2"/>
  <c r="B41" i="2"/>
  <c r="B42" i="2"/>
  <c r="D3" i="1"/>
  <c r="C30" i="1" s="1"/>
  <c r="I8" i="5"/>
  <c r="K7" i="5"/>
  <c r="J7" i="5"/>
  <c r="I7"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175" i="2"/>
  <c r="H175" i="2"/>
  <c r="G175" i="2"/>
  <c r="H127" i="2"/>
  <c r="B43" i="2"/>
  <c r="B24" i="2"/>
  <c r="G11" i="2"/>
  <c r="O5" i="2"/>
  <c r="D4" i="1"/>
  <c r="B23" i="2"/>
  <c r="I76" i="12" l="1"/>
  <c r="J76" i="12"/>
  <c r="K76" i="12"/>
  <c r="L76" i="12"/>
  <c r="M76" i="12"/>
  <c r="N76" i="12"/>
  <c r="H76" i="12"/>
  <c r="F102" i="12"/>
  <c r="G102" i="12"/>
  <c r="E102" i="12"/>
  <c r="E77" i="12"/>
  <c r="G77" i="12"/>
  <c r="F77" i="12"/>
  <c r="H54" i="10"/>
  <c r="H40" i="10"/>
  <c r="Q58" i="10"/>
  <c r="Q50" i="10"/>
  <c r="Q42" i="10"/>
  <c r="Q34" i="10"/>
  <c r="Q26" i="10"/>
  <c r="Q16" i="10"/>
  <c r="Y60" i="14"/>
  <c r="K27" i="12"/>
  <c r="E86" i="12"/>
  <c r="F86" i="12"/>
  <c r="G86" i="12"/>
  <c r="E94" i="12"/>
  <c r="F94" i="12"/>
  <c r="G94" i="12"/>
  <c r="I109" i="12"/>
  <c r="J109" i="12"/>
  <c r="K109" i="12"/>
  <c r="L109" i="12"/>
  <c r="M109" i="12"/>
  <c r="N109" i="12"/>
  <c r="H81" i="12"/>
  <c r="I81" i="12"/>
  <c r="J81" i="12"/>
  <c r="K81" i="12"/>
  <c r="L81" i="12"/>
  <c r="M81" i="12"/>
  <c r="Q13" i="10"/>
  <c r="T13" i="10"/>
  <c r="O77" i="12" s="1"/>
  <c r="N104" i="12"/>
  <c r="E93" i="12"/>
  <c r="F93" i="12"/>
  <c r="G93" i="12"/>
  <c r="E88" i="12"/>
  <c r="F88" i="12"/>
  <c r="G88" i="12"/>
  <c r="E97" i="12"/>
  <c r="G97" i="12"/>
  <c r="I104" i="12"/>
  <c r="N95" i="12"/>
  <c r="N210" i="12" s="1"/>
  <c r="H109" i="12"/>
  <c r="N81" i="12"/>
  <c r="H14" i="10"/>
  <c r="E83" i="12"/>
  <c r="F83" i="12"/>
  <c r="G83" i="12"/>
  <c r="E96" i="12"/>
  <c r="F96" i="12"/>
  <c r="G96" i="12"/>
  <c r="H44" i="10"/>
  <c r="H48" i="10"/>
  <c r="H52" i="10"/>
  <c r="H56" i="10"/>
  <c r="H27" i="10"/>
  <c r="H31" i="10"/>
  <c r="H35" i="10"/>
  <c r="H21" i="10"/>
  <c r="H16" i="10"/>
  <c r="H62" i="10"/>
  <c r="H45" i="10"/>
  <c r="H49" i="10"/>
  <c r="H53" i="10"/>
  <c r="H57" i="10"/>
  <c r="H28" i="10"/>
  <c r="H32" i="10"/>
  <c r="H25" i="10"/>
  <c r="H22" i="10"/>
  <c r="H15" i="10"/>
  <c r="H10" i="10"/>
  <c r="H37" i="10"/>
  <c r="H41" i="10"/>
  <c r="K98" i="12"/>
  <c r="N98" i="12"/>
  <c r="H98" i="12"/>
  <c r="I98" i="12"/>
  <c r="M92" i="12"/>
  <c r="N92" i="12"/>
  <c r="H92" i="12"/>
  <c r="I92" i="12"/>
  <c r="J92" i="12"/>
  <c r="K92" i="12"/>
  <c r="I86" i="12"/>
  <c r="J86" i="12"/>
  <c r="K86" i="12"/>
  <c r="L86" i="12"/>
  <c r="M86" i="12"/>
  <c r="N86" i="12"/>
  <c r="Y48" i="14"/>
  <c r="N12" i="18"/>
  <c r="G110" i="12"/>
  <c r="G219" i="12" s="1"/>
  <c r="E104" i="12"/>
  <c r="G104" i="12"/>
  <c r="M107" i="12"/>
  <c r="N107" i="12"/>
  <c r="M102" i="12"/>
  <c r="N102" i="12"/>
  <c r="H102" i="12"/>
  <c r="I102" i="12"/>
  <c r="J102" i="12"/>
  <c r="K102" i="12"/>
  <c r="M97" i="12"/>
  <c r="H97" i="12"/>
  <c r="I97" i="12"/>
  <c r="J97" i="12"/>
  <c r="K97" i="12"/>
  <c r="K85" i="12"/>
  <c r="L85" i="12"/>
  <c r="M85" i="12"/>
  <c r="N85" i="12"/>
  <c r="H85" i="12"/>
  <c r="I85" i="12"/>
  <c r="Q15" i="10"/>
  <c r="Q20" i="10"/>
  <c r="Q25" i="10"/>
  <c r="Q29" i="10"/>
  <c r="Q33" i="10"/>
  <c r="Q37" i="10"/>
  <c r="Q41" i="10"/>
  <c r="Q45" i="10"/>
  <c r="Q49" i="10"/>
  <c r="Q53" i="10"/>
  <c r="Q57" i="10"/>
  <c r="Q62" i="10"/>
  <c r="Y37" i="14"/>
  <c r="Y32" i="14"/>
  <c r="Y23" i="14"/>
  <c r="J128" i="2"/>
  <c r="O128" i="2"/>
  <c r="F110" i="12"/>
  <c r="F219" i="12" s="1"/>
  <c r="E82" i="12"/>
  <c r="F82" i="12"/>
  <c r="G82" i="12"/>
  <c r="K106" i="12"/>
  <c r="H106" i="12"/>
  <c r="I106" i="12"/>
  <c r="K96" i="12"/>
  <c r="L96" i="12"/>
  <c r="M96" i="12"/>
  <c r="N96" i="12"/>
  <c r="H96" i="12"/>
  <c r="I96" i="12"/>
  <c r="M84" i="12"/>
  <c r="N84" i="12"/>
  <c r="H84" i="12"/>
  <c r="I84" i="12"/>
  <c r="J84" i="12"/>
  <c r="K84" i="12"/>
  <c r="N18" i="18"/>
  <c r="Y18" i="14"/>
  <c r="J104" i="12"/>
  <c r="K104" i="12"/>
  <c r="L104" i="12"/>
  <c r="M104" i="12"/>
  <c r="D15" i="18"/>
  <c r="O150" i="12" s="1"/>
  <c r="Y14" i="14"/>
  <c r="AW14" i="14"/>
  <c r="D16" i="18"/>
  <c r="D17" i="18"/>
  <c r="O151" i="12" s="1"/>
  <c r="T9" i="18"/>
  <c r="D9" i="18"/>
  <c r="O146" i="12" s="1"/>
  <c r="D18" i="18"/>
  <c r="D10" i="18"/>
  <c r="O147" i="12" s="1"/>
  <c r="D19" i="18"/>
  <c r="O152" i="12" s="1"/>
  <c r="Y17" i="14"/>
  <c r="Y15" i="14"/>
  <c r="AW17" i="14"/>
  <c r="AW15" i="14"/>
  <c r="D12" i="18"/>
  <c r="O148" i="12" s="1"/>
  <c r="D20" i="18"/>
  <c r="O153" i="12" s="1"/>
  <c r="D13" i="18"/>
  <c r="D8" i="18"/>
  <c r="O145" i="12" s="1"/>
  <c r="T16" i="18"/>
  <c r="N13" i="18"/>
  <c r="H12" i="10"/>
  <c r="T12" i="18"/>
  <c r="T8" i="18"/>
  <c r="T12" i="10"/>
  <c r="O76" i="12" s="1"/>
  <c r="T20" i="18"/>
  <c r="N17" i="18"/>
  <c r="D14" i="18"/>
  <c r="O149" i="12" s="1"/>
  <c r="T14" i="10"/>
  <c r="O78" i="12" s="1"/>
  <c r="E81" i="12"/>
  <c r="G81" i="12"/>
  <c r="E103" i="12"/>
  <c r="F103" i="12"/>
  <c r="G103" i="12"/>
  <c r="E100" i="12"/>
  <c r="G100" i="12"/>
  <c r="L24" i="12"/>
  <c r="L26" i="12"/>
  <c r="L155" i="12" s="1"/>
  <c r="L28" i="12"/>
  <c r="L157" i="12" s="1"/>
  <c r="L30" i="12"/>
  <c r="L27" i="12"/>
  <c r="L29" i="12"/>
  <c r="L25" i="12"/>
  <c r="Y55" i="14"/>
  <c r="I95" i="12"/>
  <c r="I210" i="12" s="1"/>
  <c r="J95" i="12"/>
  <c r="J210" i="12" s="1"/>
  <c r="K95" i="12"/>
  <c r="K210" i="12" s="1"/>
  <c r="L95" i="12"/>
  <c r="L210" i="12" s="1"/>
  <c r="M95" i="12"/>
  <c r="M210" i="12" s="1"/>
  <c r="E90" i="12"/>
  <c r="F90" i="12"/>
  <c r="G90" i="12"/>
  <c r="E107" i="12"/>
  <c r="F107" i="12"/>
  <c r="E109" i="12"/>
  <c r="F109" i="12"/>
  <c r="G109" i="12"/>
  <c r="H89" i="12"/>
  <c r="I89" i="12"/>
  <c r="J89" i="12"/>
  <c r="K89" i="12"/>
  <c r="L89" i="12"/>
  <c r="M89" i="12"/>
  <c r="M82" i="12"/>
  <c r="N82" i="12"/>
  <c r="H82" i="12"/>
  <c r="I82" i="12"/>
  <c r="J82" i="12"/>
  <c r="K82" i="12"/>
  <c r="Y58" i="14"/>
  <c r="C170" i="2"/>
  <c r="B90" i="2"/>
  <c r="J172" i="2"/>
  <c r="H172" i="2"/>
  <c r="J173" i="2"/>
  <c r="H173" i="2"/>
  <c r="O149" i="2"/>
  <c r="T55" i="10"/>
  <c r="O107" i="12" s="1"/>
  <c r="T47" i="10"/>
  <c r="O102" i="12" s="1"/>
  <c r="T39" i="10"/>
  <c r="O97" i="12" s="1"/>
  <c r="T31" i="10"/>
  <c r="T23" i="10"/>
  <c r="O86" i="12" s="1"/>
  <c r="K24" i="12"/>
  <c r="K26" i="12"/>
  <c r="K28" i="12"/>
  <c r="K30" i="12"/>
  <c r="K25" i="12"/>
  <c r="K29" i="12"/>
  <c r="N10" i="18"/>
  <c r="N9" i="18"/>
  <c r="L146" i="12" s="1"/>
  <c r="T15" i="18"/>
  <c r="Y45" i="14"/>
  <c r="Y62" i="14" s="1"/>
  <c r="Q10" i="10"/>
  <c r="J26" i="12"/>
  <c r="J28" i="12"/>
  <c r="J30" i="12"/>
  <c r="J27" i="12"/>
  <c r="J156" i="12" s="1"/>
  <c r="J29" i="12"/>
  <c r="J158" i="12" s="1"/>
  <c r="J25" i="12"/>
  <c r="J24" i="12"/>
  <c r="Y41" i="14"/>
  <c r="Y33" i="14"/>
  <c r="Y24" i="14"/>
  <c r="Y20" i="14"/>
  <c r="T14" i="18"/>
  <c r="Y16" i="14"/>
  <c r="I27" i="12"/>
  <c r="I29" i="12"/>
  <c r="I25" i="12"/>
  <c r="I24" i="12"/>
  <c r="I30" i="12"/>
  <c r="I28" i="12"/>
  <c r="I157" i="12" s="1"/>
  <c r="I26" i="12"/>
  <c r="I155" i="12" s="1"/>
  <c r="N8" i="18"/>
  <c r="L145" i="12" s="1"/>
  <c r="N16" i="18"/>
  <c r="T13" i="18"/>
  <c r="H27" i="12"/>
  <c r="H29" i="12"/>
  <c r="H25" i="12"/>
  <c r="H26" i="12"/>
  <c r="H155" i="12" s="1"/>
  <c r="H28" i="12"/>
  <c r="H30" i="12"/>
  <c r="H24" i="12"/>
  <c r="Y42" i="14"/>
  <c r="Y35" i="14"/>
  <c r="Y29" i="14"/>
  <c r="Y21" i="14"/>
  <c r="N15" i="18"/>
  <c r="L150" i="12" s="1"/>
  <c r="T19" i="18"/>
  <c r="Q14" i="10"/>
  <c r="O27" i="12"/>
  <c r="O156" i="12" s="1"/>
  <c r="O29" i="12"/>
  <c r="O25" i="12"/>
  <c r="O24" i="12"/>
  <c r="O30" i="12"/>
  <c r="O28" i="12"/>
  <c r="O26" i="12"/>
  <c r="G27" i="12"/>
  <c r="G29" i="12"/>
  <c r="G158" i="12" s="1"/>
  <c r="G25" i="12"/>
  <c r="G24" i="12"/>
  <c r="G28" i="12"/>
  <c r="G26" i="12"/>
  <c r="N14" i="18"/>
  <c r="T18" i="18"/>
  <c r="G112" i="12"/>
  <c r="A8" i="12"/>
  <c r="D7" i="12"/>
  <c r="E23" i="2" s="1"/>
  <c r="N27" i="12"/>
  <c r="N29" i="12"/>
  <c r="N25" i="12"/>
  <c r="N24" i="12"/>
  <c r="N26" i="12"/>
  <c r="N155" i="12" s="1"/>
  <c r="N28" i="12"/>
  <c r="N30" i="12"/>
  <c r="F27" i="12"/>
  <c r="F29" i="12"/>
  <c r="F25" i="12"/>
  <c r="F24" i="12"/>
  <c r="F26" i="12"/>
  <c r="F155" i="12" s="1"/>
  <c r="F28" i="12"/>
  <c r="F157" i="12" s="1"/>
  <c r="F30" i="12"/>
  <c r="Y43" i="14"/>
  <c r="Y36" i="14"/>
  <c r="Y31" i="14"/>
  <c r="Y22" i="14"/>
  <c r="J171" i="2"/>
  <c r="N20" i="18"/>
  <c r="T17" i="18"/>
  <c r="T10" i="18"/>
  <c r="AW16" i="14"/>
  <c r="L112" i="12"/>
  <c r="L148" i="12"/>
  <c r="L152" i="12"/>
  <c r="L149" i="12"/>
  <c r="L151" i="12"/>
  <c r="L113" i="12"/>
  <c r="E26" i="12"/>
  <c r="E28" i="12"/>
  <c r="E157" i="12" s="1"/>
  <c r="E30" i="12"/>
  <c r="E159" i="12" s="1"/>
  <c r="E25" i="12"/>
  <c r="E29" i="12"/>
  <c r="E27" i="12"/>
  <c r="T57" i="10"/>
  <c r="O108" i="12" s="1"/>
  <c r="T49" i="10"/>
  <c r="T41" i="10"/>
  <c r="O99" i="12" s="1"/>
  <c r="T33" i="10"/>
  <c r="O93" i="12" s="1"/>
  <c r="T25" i="10"/>
  <c r="O87" i="12" s="1"/>
  <c r="M24" i="12"/>
  <c r="M26" i="12"/>
  <c r="M28" i="12"/>
  <c r="M157" i="12" s="1"/>
  <c r="M30" i="12"/>
  <c r="M27" i="12"/>
  <c r="M156" i="12" s="1"/>
  <c r="M25" i="12"/>
  <c r="M29" i="12"/>
  <c r="N19" i="18"/>
  <c r="G30" i="12"/>
  <c r="G159" i="12" s="1"/>
  <c r="I113" i="12"/>
  <c r="Y64" i="15"/>
  <c r="P159" i="12"/>
  <c r="G157" i="12"/>
  <c r="N112" i="12"/>
  <c r="F112" i="12"/>
  <c r="N159" i="12"/>
  <c r="N113" i="12"/>
  <c r="K113" i="12"/>
  <c r="K112" i="12"/>
  <c r="J219" i="12"/>
  <c r="H159" i="12"/>
  <c r="E112" i="12"/>
  <c r="E113" i="12"/>
  <c r="H113" i="12"/>
  <c r="H112" i="12"/>
  <c r="J17" i="12"/>
  <c r="J48" i="12" s="1"/>
  <c r="F159" i="12"/>
  <c r="H156" i="12"/>
  <c r="M112" i="12"/>
  <c r="M113" i="12"/>
  <c r="K158" i="12"/>
  <c r="J113" i="12"/>
  <c r="J112" i="12"/>
  <c r="E17" i="12"/>
  <c r="E39" i="12" s="1"/>
  <c r="I158" i="12"/>
  <c r="I112" i="12"/>
  <c r="O113" i="12"/>
  <c r="G113" i="12"/>
  <c r="P204" i="12"/>
  <c r="O157" i="12"/>
  <c r="O112" i="12"/>
  <c r="O159" i="12"/>
  <c r="N157" i="12"/>
  <c r="I156" i="12"/>
  <c r="M155" i="12"/>
  <c r="E155" i="12"/>
  <c r="P212" i="12"/>
  <c r="M159" i="12"/>
  <c r="H158" i="12"/>
  <c r="G156" i="12"/>
  <c r="K155" i="12"/>
  <c r="L159" i="12"/>
  <c r="O158" i="12"/>
  <c r="K157" i="12"/>
  <c r="N156" i="12"/>
  <c r="F156" i="12"/>
  <c r="J155" i="12"/>
  <c r="K159" i="12"/>
  <c r="N158" i="12"/>
  <c r="F158" i="12"/>
  <c r="J157" i="12"/>
  <c r="E156" i="12"/>
  <c r="J159" i="12"/>
  <c r="M158" i="12"/>
  <c r="E158" i="12"/>
  <c r="L156" i="12"/>
  <c r="P155" i="12"/>
  <c r="O219" i="12"/>
  <c r="I159" i="12"/>
  <c r="L158" i="12"/>
  <c r="P157" i="12"/>
  <c r="H157" i="12"/>
  <c r="K156" i="12"/>
  <c r="O155" i="12"/>
  <c r="G155" i="12"/>
  <c r="Y16" i="15"/>
  <c r="M39" i="12" s="1"/>
  <c r="M168" i="12" s="1"/>
  <c r="Y48" i="15"/>
  <c r="Y37" i="15"/>
  <c r="N48" i="12" s="1"/>
  <c r="Y66" i="15"/>
  <c r="Y59" i="15"/>
  <c r="Y33" i="15"/>
  <c r="I44" i="12" s="1"/>
  <c r="Y32" i="15"/>
  <c r="I43" i="12" s="1"/>
  <c r="Y35" i="15"/>
  <c r="K46" i="12" s="1"/>
  <c r="Y69" i="15"/>
  <c r="M72" i="12" s="1"/>
  <c r="M200" i="12" s="1"/>
  <c r="Y23" i="15"/>
  <c r="Y14" i="15"/>
  <c r="Y45" i="15"/>
  <c r="Y39" i="15"/>
  <c r="Y53" i="15"/>
  <c r="E62" i="12" s="1"/>
  <c r="Y50" i="15"/>
  <c r="N59" i="12" s="1"/>
  <c r="N188" i="12" s="1"/>
  <c r="Y12" i="15"/>
  <c r="I35" i="12" s="1"/>
  <c r="I163" i="12" s="1"/>
  <c r="Y65" i="15"/>
  <c r="H70" i="12" s="1"/>
  <c r="Y52" i="15"/>
  <c r="Y31" i="15"/>
  <c r="L42" i="12" s="1"/>
  <c r="L171" i="12" s="1"/>
  <c r="Y29" i="15"/>
  <c r="Y20" i="15"/>
  <c r="Y72" i="15"/>
  <c r="O74" i="12" s="1"/>
  <c r="Y6" i="15"/>
  <c r="Y7" i="15" s="1"/>
  <c r="Y17" i="15"/>
  <c r="Y56" i="15"/>
  <c r="M64" i="12" s="1"/>
  <c r="Y28" i="15"/>
  <c r="Y58" i="15"/>
  <c r="Y38" i="15"/>
  <c r="Y9" i="15"/>
  <c r="H33" i="12" s="1"/>
  <c r="H162" i="12" s="1"/>
  <c r="Y25" i="15"/>
  <c r="Y22" i="15"/>
  <c r="Y61" i="15"/>
  <c r="Y54" i="15"/>
  <c r="I63" i="12" s="1"/>
  <c r="I192" i="12" s="1"/>
  <c r="Y46" i="15"/>
  <c r="N56" i="12" s="1"/>
  <c r="Y41" i="15"/>
  <c r="I51" i="12" s="1"/>
  <c r="I180" i="12" s="1"/>
  <c r="Y15" i="15"/>
  <c r="M38" i="12" s="1"/>
  <c r="M167" i="12" s="1"/>
  <c r="Y19" i="15"/>
  <c r="O41" i="12" s="1"/>
  <c r="O170" i="12" s="1"/>
  <c r="Y60" i="15"/>
  <c r="G66" i="12" s="1"/>
  <c r="Y44" i="15"/>
  <c r="M54" i="12" s="1"/>
  <c r="M183" i="12" s="1"/>
  <c r="Y13" i="15"/>
  <c r="H36" i="12" s="1"/>
  <c r="H164" i="12" s="1"/>
  <c r="Y27" i="15"/>
  <c r="Y67" i="15"/>
  <c r="Y63" i="15"/>
  <c r="G68" i="12" s="1"/>
  <c r="Y49" i="15"/>
  <c r="N58" i="12" s="1"/>
  <c r="N187" i="12" s="1"/>
  <c r="Y18" i="15"/>
  <c r="K40" i="12" s="1"/>
  <c r="K169" i="12" s="1"/>
  <c r="Y8" i="15"/>
  <c r="G32" i="12" s="1"/>
  <c r="G161" i="12" s="1"/>
  <c r="Y36" i="15"/>
  <c r="Y26" i="15"/>
  <c r="Y62" i="15"/>
  <c r="M67" i="12" s="1"/>
  <c r="Y42" i="15"/>
  <c r="H52" i="12" s="1"/>
  <c r="H181" i="12" s="1"/>
  <c r="Y24" i="15"/>
  <c r="Y68" i="15"/>
  <c r="M71" i="12" s="1"/>
  <c r="Y57" i="15"/>
  <c r="Y51" i="15"/>
  <c r="O60" i="12" s="1"/>
  <c r="O189" i="12" s="1"/>
  <c r="Y43" i="15"/>
  <c r="F53" i="12" s="1"/>
  <c r="Y10" i="15"/>
  <c r="Y11" i="15" s="1"/>
  <c r="Y34" i="15"/>
  <c r="G57" i="12"/>
  <c r="G186" i="12" s="1"/>
  <c r="M57" i="12"/>
  <c r="M186" i="12" s="1"/>
  <c r="K69" i="12"/>
  <c r="L69" i="12"/>
  <c r="E69" i="12"/>
  <c r="M69" i="12"/>
  <c r="F69" i="12"/>
  <c r="N69" i="12"/>
  <c r="G69" i="12"/>
  <c r="O69" i="12"/>
  <c r="H69" i="12"/>
  <c r="I69" i="12"/>
  <c r="J69" i="12"/>
  <c r="Y70" i="15"/>
  <c r="P73" i="12" s="1"/>
  <c r="P201" i="12" s="1"/>
  <c r="K48" i="12"/>
  <c r="L48" i="12"/>
  <c r="M48" i="12"/>
  <c r="F48" i="12"/>
  <c r="G48" i="12"/>
  <c r="O48" i="12"/>
  <c r="H48" i="12"/>
  <c r="I48" i="12"/>
  <c r="F39" i="12"/>
  <c r="F168" i="12" s="1"/>
  <c r="N39" i="12"/>
  <c r="N168" i="12" s="1"/>
  <c r="G39" i="12"/>
  <c r="G168" i="12" s="1"/>
  <c r="O39" i="12"/>
  <c r="O168" i="12" s="1"/>
  <c r="H39" i="12"/>
  <c r="H168" i="12" s="1"/>
  <c r="I39" i="12"/>
  <c r="I168" i="12" s="1"/>
  <c r="J39" i="12"/>
  <c r="J168" i="12" s="1"/>
  <c r="L39" i="12"/>
  <c r="L168" i="12" s="1"/>
  <c r="P112" i="12"/>
  <c r="P113" i="12"/>
  <c r="P170" i="12"/>
  <c r="P69" i="12"/>
  <c r="P197" i="12" s="1"/>
  <c r="P39" i="12"/>
  <c r="P168" i="12" s="1"/>
  <c r="P48" i="12"/>
  <c r="L108" i="12" l="1"/>
  <c r="N108" i="12"/>
  <c r="M108" i="12"/>
  <c r="H108" i="12"/>
  <c r="I108" i="12"/>
  <c r="J108" i="12"/>
  <c r="K108" i="12"/>
  <c r="H87" i="12"/>
  <c r="I87" i="12"/>
  <c r="J87" i="12"/>
  <c r="K87" i="12"/>
  <c r="L87" i="12"/>
  <c r="M87" i="12"/>
  <c r="N87" i="12"/>
  <c r="E79" i="12"/>
  <c r="F79" i="12"/>
  <c r="G79" i="12"/>
  <c r="E101" i="12"/>
  <c r="F101" i="12"/>
  <c r="F213" i="12" s="1"/>
  <c r="G101" i="12"/>
  <c r="K103" i="12"/>
  <c r="L103" i="12"/>
  <c r="M103" i="12"/>
  <c r="M199" i="12" s="1"/>
  <c r="N103" i="12"/>
  <c r="H103" i="12"/>
  <c r="I103" i="12"/>
  <c r="J103" i="12"/>
  <c r="N119" i="12"/>
  <c r="N138" i="12"/>
  <c r="N114" i="12"/>
  <c r="N128" i="12"/>
  <c r="N120" i="12"/>
  <c r="N203" i="12" s="1"/>
  <c r="N130" i="12"/>
  <c r="N139" i="12"/>
  <c r="N141" i="12"/>
  <c r="N217" i="12" s="1"/>
  <c r="N127" i="12"/>
  <c r="N117" i="12"/>
  <c r="N135" i="12"/>
  <c r="N124" i="12"/>
  <c r="N126" i="12"/>
  <c r="N133" i="12"/>
  <c r="N122" i="12"/>
  <c r="N143" i="12"/>
  <c r="N115" i="12"/>
  <c r="N131" i="12"/>
  <c r="N123" i="12"/>
  <c r="N144" i="12"/>
  <c r="N129" i="12"/>
  <c r="N132" i="12"/>
  <c r="N211" i="12" s="1"/>
  <c r="N136" i="12"/>
  <c r="N137" i="12"/>
  <c r="N118" i="12"/>
  <c r="N142" i="12"/>
  <c r="N134" i="12"/>
  <c r="N125" i="12"/>
  <c r="N206" i="12" s="1"/>
  <c r="N140" i="12"/>
  <c r="N216" i="12" s="1"/>
  <c r="N116" i="12"/>
  <c r="N121" i="12"/>
  <c r="M90" i="12"/>
  <c r="N90" i="12"/>
  <c r="H90" i="12"/>
  <c r="I90" i="12"/>
  <c r="J90" i="12"/>
  <c r="K90" i="12"/>
  <c r="L90" i="12"/>
  <c r="J49" i="12"/>
  <c r="J178" i="12" s="1"/>
  <c r="E55" i="12"/>
  <c r="E184" i="12" s="1"/>
  <c r="H123" i="12"/>
  <c r="H144" i="12"/>
  <c r="H129" i="12"/>
  <c r="H136" i="12"/>
  <c r="H116" i="12"/>
  <c r="H134" i="12"/>
  <c r="H119" i="12"/>
  <c r="H138" i="12"/>
  <c r="H141" i="12"/>
  <c r="H217" i="12" s="1"/>
  <c r="H114" i="12"/>
  <c r="H128" i="12"/>
  <c r="H120" i="12"/>
  <c r="H124" i="12"/>
  <c r="H126" i="12"/>
  <c r="H130" i="12"/>
  <c r="H139" i="12"/>
  <c r="H214" i="12" s="1"/>
  <c r="H127" i="12"/>
  <c r="H117" i="12"/>
  <c r="H135" i="12"/>
  <c r="H133" i="12"/>
  <c r="H115" i="12"/>
  <c r="H131" i="12"/>
  <c r="H137" i="12"/>
  <c r="H132" i="12"/>
  <c r="H118" i="12"/>
  <c r="H142" i="12"/>
  <c r="H125" i="12"/>
  <c r="H140" i="12"/>
  <c r="H143" i="12"/>
  <c r="H121" i="12"/>
  <c r="H122" i="12"/>
  <c r="K122" i="12"/>
  <c r="K143" i="12"/>
  <c r="K115" i="12"/>
  <c r="K131" i="12"/>
  <c r="K118" i="12"/>
  <c r="K137" i="12"/>
  <c r="K121" i="12"/>
  <c r="K125" i="12"/>
  <c r="K132" i="12"/>
  <c r="K211" i="12" s="1"/>
  <c r="K140" i="12"/>
  <c r="K142" i="12"/>
  <c r="K123" i="12"/>
  <c r="K144" i="12"/>
  <c r="K129" i="12"/>
  <c r="K136" i="12"/>
  <c r="K116" i="12"/>
  <c r="K134" i="12"/>
  <c r="K114" i="12"/>
  <c r="K128" i="12"/>
  <c r="K120" i="12"/>
  <c r="K130" i="12"/>
  <c r="K139" i="12"/>
  <c r="K214" i="12" s="1"/>
  <c r="K127" i="12"/>
  <c r="K117" i="12"/>
  <c r="K126" i="12"/>
  <c r="K124" i="12"/>
  <c r="K138" i="12"/>
  <c r="K133" i="12"/>
  <c r="K119" i="12"/>
  <c r="K135" i="12"/>
  <c r="K141" i="12"/>
  <c r="K217" i="12" s="1"/>
  <c r="G116" i="12"/>
  <c r="G134" i="12"/>
  <c r="G119" i="12"/>
  <c r="G138" i="12"/>
  <c r="G141" i="12"/>
  <c r="G217" i="12" s="1"/>
  <c r="G114" i="12"/>
  <c r="G128" i="12"/>
  <c r="G120" i="12"/>
  <c r="G124" i="12"/>
  <c r="G126" i="12"/>
  <c r="G130" i="12"/>
  <c r="G139" i="12"/>
  <c r="G127" i="12"/>
  <c r="G117" i="12"/>
  <c r="G135" i="12"/>
  <c r="G133" i="12"/>
  <c r="G122" i="12"/>
  <c r="G143" i="12"/>
  <c r="G118" i="12"/>
  <c r="G137" i="12"/>
  <c r="G125" i="12"/>
  <c r="G132" i="12"/>
  <c r="G140" i="12"/>
  <c r="G142" i="12"/>
  <c r="G144" i="12"/>
  <c r="G115" i="12"/>
  <c r="G123" i="12"/>
  <c r="G129" i="12"/>
  <c r="G121" i="12"/>
  <c r="G204" i="12" s="1"/>
  <c r="G136" i="12"/>
  <c r="G131" i="12"/>
  <c r="M78" i="12"/>
  <c r="N78" i="12"/>
  <c r="H78" i="12"/>
  <c r="I78" i="12"/>
  <c r="J78" i="12"/>
  <c r="K78" i="12"/>
  <c r="L78" i="12"/>
  <c r="H203" i="12"/>
  <c r="H206" i="12"/>
  <c r="E76" i="12"/>
  <c r="F76" i="12"/>
  <c r="G76" i="12"/>
  <c r="H216" i="12"/>
  <c r="M105" i="12"/>
  <c r="M215" i="12" s="1"/>
  <c r="H105" i="12"/>
  <c r="H215" i="12" s="1"/>
  <c r="I105" i="12"/>
  <c r="I215" i="12" s="1"/>
  <c r="J105" i="12"/>
  <c r="J215" i="12" s="1"/>
  <c r="K105" i="12"/>
  <c r="K215" i="12" s="1"/>
  <c r="L105" i="12"/>
  <c r="L215" i="12" s="1"/>
  <c r="N105" i="12"/>
  <c r="N215" i="12" s="1"/>
  <c r="K83" i="12"/>
  <c r="K204" i="12" s="1"/>
  <c r="L83" i="12"/>
  <c r="M83" i="12"/>
  <c r="N83" i="12"/>
  <c r="N204" i="12" s="1"/>
  <c r="H83" i="12"/>
  <c r="H204" i="12" s="1"/>
  <c r="I83" i="12"/>
  <c r="J83" i="12"/>
  <c r="J204" i="12" s="1"/>
  <c r="E85" i="12"/>
  <c r="F85" i="12"/>
  <c r="G85" i="12"/>
  <c r="E111" i="12"/>
  <c r="G111" i="12"/>
  <c r="F111" i="12"/>
  <c r="F78" i="12"/>
  <c r="E78" i="12"/>
  <c r="G78" i="12"/>
  <c r="G207" i="12"/>
  <c r="H111" i="12"/>
  <c r="I111" i="12"/>
  <c r="J111" i="12"/>
  <c r="K111" i="12"/>
  <c r="L111" i="12"/>
  <c r="M111" i="12"/>
  <c r="N111" i="12"/>
  <c r="F75" i="12"/>
  <c r="G75" i="12"/>
  <c r="J115" i="12"/>
  <c r="J131" i="12"/>
  <c r="J118" i="12"/>
  <c r="J137" i="12"/>
  <c r="J121" i="12"/>
  <c r="J125" i="12"/>
  <c r="J132" i="12"/>
  <c r="J140" i="12"/>
  <c r="J216" i="12" s="1"/>
  <c r="J142" i="12"/>
  <c r="J123" i="12"/>
  <c r="J144" i="12"/>
  <c r="J129" i="12"/>
  <c r="J136" i="12"/>
  <c r="J116" i="12"/>
  <c r="J134" i="12"/>
  <c r="J119" i="12"/>
  <c r="J138" i="12"/>
  <c r="J141" i="12"/>
  <c r="J217" i="12" s="1"/>
  <c r="J117" i="12"/>
  <c r="J177" i="12" s="1"/>
  <c r="J135" i="12"/>
  <c r="J124" i="12"/>
  <c r="J126" i="12"/>
  <c r="J133" i="12"/>
  <c r="J212" i="12" s="1"/>
  <c r="J122" i="12"/>
  <c r="J139" i="12"/>
  <c r="J214" i="12" s="1"/>
  <c r="J120" i="12"/>
  <c r="J128" i="12"/>
  <c r="J130" i="12"/>
  <c r="J127" i="12"/>
  <c r="J143" i="12"/>
  <c r="J114" i="12"/>
  <c r="A9" i="12"/>
  <c r="D8" i="12"/>
  <c r="H147" i="12"/>
  <c r="I147" i="12"/>
  <c r="J147" i="12"/>
  <c r="K147" i="12"/>
  <c r="M147" i="12"/>
  <c r="N147" i="12"/>
  <c r="N177" i="12" s="1"/>
  <c r="H197" i="12"/>
  <c r="E48" i="12"/>
  <c r="E37" i="12"/>
  <c r="K216" i="12"/>
  <c r="K79" i="12"/>
  <c r="K175" i="12" s="1"/>
  <c r="L79" i="12"/>
  <c r="M79" i="12"/>
  <c r="N79" i="12"/>
  <c r="H79" i="12"/>
  <c r="I79" i="12"/>
  <c r="J79" i="12"/>
  <c r="J211" i="12"/>
  <c r="H212" i="12"/>
  <c r="E87" i="12"/>
  <c r="G87" i="12"/>
  <c r="F87" i="12"/>
  <c r="E80" i="12"/>
  <c r="F80" i="12"/>
  <c r="G80" i="12"/>
  <c r="G211" i="12"/>
  <c r="N214" i="12"/>
  <c r="E98" i="12"/>
  <c r="F98" i="12"/>
  <c r="G98" i="12"/>
  <c r="G212" i="12" s="1"/>
  <c r="G151" i="12"/>
  <c r="E151" i="12"/>
  <c r="F151" i="12"/>
  <c r="K150" i="12"/>
  <c r="M150" i="12"/>
  <c r="N150" i="12"/>
  <c r="H150" i="12"/>
  <c r="I150" i="12"/>
  <c r="J150" i="12"/>
  <c r="G149" i="12"/>
  <c r="E149" i="12"/>
  <c r="F149" i="12"/>
  <c r="K146" i="12"/>
  <c r="M146" i="12"/>
  <c r="N146" i="12"/>
  <c r="H146" i="12"/>
  <c r="I146" i="12"/>
  <c r="J146" i="12"/>
  <c r="F145" i="12"/>
  <c r="G145" i="12"/>
  <c r="E145" i="12"/>
  <c r="E65" i="12"/>
  <c r="H153" i="12"/>
  <c r="I153" i="12"/>
  <c r="J153" i="12"/>
  <c r="K153" i="12"/>
  <c r="M153" i="12"/>
  <c r="N153" i="12"/>
  <c r="E148" i="12"/>
  <c r="F148" i="12"/>
  <c r="G148" i="12"/>
  <c r="E146" i="12"/>
  <c r="F146" i="12"/>
  <c r="G146" i="12"/>
  <c r="N185" i="12"/>
  <c r="E61" i="12"/>
  <c r="E57" i="12"/>
  <c r="I118" i="12"/>
  <c r="I137" i="12"/>
  <c r="I121" i="12"/>
  <c r="I125" i="12"/>
  <c r="I206" i="12" s="1"/>
  <c r="I132" i="12"/>
  <c r="I140" i="12"/>
  <c r="I216" i="12" s="1"/>
  <c r="I142" i="12"/>
  <c r="I123" i="12"/>
  <c r="I144" i="12"/>
  <c r="I129" i="12"/>
  <c r="I136" i="12"/>
  <c r="I116" i="12"/>
  <c r="I134" i="12"/>
  <c r="I119" i="12"/>
  <c r="I138" i="12"/>
  <c r="I141" i="12"/>
  <c r="I217" i="12" s="1"/>
  <c r="I114" i="12"/>
  <c r="I128" i="12"/>
  <c r="I120" i="12"/>
  <c r="I203" i="12" s="1"/>
  <c r="I126" i="12"/>
  <c r="I130" i="12"/>
  <c r="I139" i="12"/>
  <c r="I127" i="12"/>
  <c r="I122" i="12"/>
  <c r="I143" i="12"/>
  <c r="I131" i="12"/>
  <c r="I124" i="12"/>
  <c r="I115" i="12"/>
  <c r="I133" i="12"/>
  <c r="I212" i="12" s="1"/>
  <c r="I135" i="12"/>
  <c r="I117" i="12"/>
  <c r="I177" i="12" s="1"/>
  <c r="L153" i="12"/>
  <c r="H149" i="12"/>
  <c r="I149" i="12"/>
  <c r="J149" i="12"/>
  <c r="K149" i="12"/>
  <c r="M149" i="12"/>
  <c r="N149" i="12"/>
  <c r="I75" i="12"/>
  <c r="M75" i="12"/>
  <c r="J75" i="12"/>
  <c r="N75" i="12"/>
  <c r="K75" i="12"/>
  <c r="H75" i="12"/>
  <c r="L75" i="12"/>
  <c r="J170" i="2"/>
  <c r="O170" i="2"/>
  <c r="H170" i="2"/>
  <c r="G203" i="12"/>
  <c r="I101" i="12"/>
  <c r="L101" i="12"/>
  <c r="M101" i="12"/>
  <c r="N101" i="12"/>
  <c r="N213" i="12" s="1"/>
  <c r="K101" i="12"/>
  <c r="K213" i="12" s="1"/>
  <c r="J101" i="12"/>
  <c r="J213" i="12" s="1"/>
  <c r="H101" i="12"/>
  <c r="H213" i="12" s="1"/>
  <c r="I211" i="12"/>
  <c r="K148" i="12"/>
  <c r="M148" i="12"/>
  <c r="N148" i="12"/>
  <c r="H148" i="12"/>
  <c r="I148" i="12"/>
  <c r="J148" i="12"/>
  <c r="N212" i="12"/>
  <c r="E92" i="12"/>
  <c r="F92" i="12"/>
  <c r="G92" i="12"/>
  <c r="G194" i="12" s="1"/>
  <c r="E84" i="12"/>
  <c r="F84" i="12"/>
  <c r="G84" i="12"/>
  <c r="G209" i="12"/>
  <c r="E106" i="12"/>
  <c r="G106" i="12"/>
  <c r="G216" i="12" s="1"/>
  <c r="F106" i="12"/>
  <c r="J206" i="12"/>
  <c r="K177" i="12"/>
  <c r="E45" i="12"/>
  <c r="M193" i="12"/>
  <c r="H198" i="12"/>
  <c r="E75" i="12"/>
  <c r="L117" i="12"/>
  <c r="L177" i="12" s="1"/>
  <c r="L135" i="12"/>
  <c r="L124" i="12"/>
  <c r="L126" i="12"/>
  <c r="L133" i="12"/>
  <c r="L212" i="12" s="1"/>
  <c r="L122" i="12"/>
  <c r="L143" i="12"/>
  <c r="L115" i="12"/>
  <c r="L131" i="12"/>
  <c r="L118" i="12"/>
  <c r="L137" i="12"/>
  <c r="L121" i="12"/>
  <c r="L125" i="12"/>
  <c r="L140" i="12"/>
  <c r="L216" i="12" s="1"/>
  <c r="L142" i="12"/>
  <c r="L123" i="12"/>
  <c r="L144" i="12"/>
  <c r="L129" i="12"/>
  <c r="L132" i="12"/>
  <c r="L211" i="12" s="1"/>
  <c r="L136" i="12"/>
  <c r="L119" i="12"/>
  <c r="L138" i="12"/>
  <c r="L141" i="12"/>
  <c r="L217" i="12" s="1"/>
  <c r="L114" i="12"/>
  <c r="L139" i="12"/>
  <c r="L134" i="12"/>
  <c r="L120" i="12"/>
  <c r="L203" i="12" s="1"/>
  <c r="L116" i="12"/>
  <c r="L128" i="12"/>
  <c r="L130" i="12"/>
  <c r="L127" i="12"/>
  <c r="M206" i="12"/>
  <c r="H151" i="12"/>
  <c r="I151" i="12"/>
  <c r="J151" i="12"/>
  <c r="K151" i="12"/>
  <c r="M151" i="12"/>
  <c r="N151" i="12"/>
  <c r="F203" i="12"/>
  <c r="I99" i="12"/>
  <c r="J99" i="12"/>
  <c r="K99" i="12"/>
  <c r="L99" i="12"/>
  <c r="M99" i="12"/>
  <c r="N99" i="12"/>
  <c r="H99" i="12"/>
  <c r="H211" i="12"/>
  <c r="K212" i="12"/>
  <c r="E89" i="12"/>
  <c r="G89" i="12"/>
  <c r="G206" i="12" s="1"/>
  <c r="F89" i="12"/>
  <c r="E95" i="12"/>
  <c r="E210" i="12" s="1"/>
  <c r="G95" i="12"/>
  <c r="G210" i="12" s="1"/>
  <c r="F95" i="12"/>
  <c r="F210" i="12" s="1"/>
  <c r="G205" i="12"/>
  <c r="I80" i="12"/>
  <c r="J80" i="12"/>
  <c r="K80" i="12"/>
  <c r="L80" i="12"/>
  <c r="M80" i="12"/>
  <c r="N80" i="12"/>
  <c r="H80" i="12"/>
  <c r="J203" i="12"/>
  <c r="G208" i="12"/>
  <c r="H177" i="12"/>
  <c r="F197" i="12"/>
  <c r="E34" i="12"/>
  <c r="M114" i="12"/>
  <c r="M128" i="12"/>
  <c r="M120" i="12"/>
  <c r="M203" i="12" s="1"/>
  <c r="M130" i="12"/>
  <c r="M139" i="12"/>
  <c r="M214" i="12" s="1"/>
  <c r="M127" i="12"/>
  <c r="M117" i="12"/>
  <c r="M177" i="12" s="1"/>
  <c r="M135" i="12"/>
  <c r="M124" i="12"/>
  <c r="M126" i="12"/>
  <c r="M133" i="12"/>
  <c r="M212" i="12" s="1"/>
  <c r="M122" i="12"/>
  <c r="M143" i="12"/>
  <c r="M115" i="12"/>
  <c r="M131" i="12"/>
  <c r="M195" i="12" s="1"/>
  <c r="M118" i="12"/>
  <c r="M137" i="12"/>
  <c r="M121" i="12"/>
  <c r="M125" i="12"/>
  <c r="M140" i="12"/>
  <c r="M216" i="12" s="1"/>
  <c r="M142" i="12"/>
  <c r="M116" i="12"/>
  <c r="M134" i="12"/>
  <c r="M141" i="12"/>
  <c r="M217" i="12" s="1"/>
  <c r="M144" i="12"/>
  <c r="M132" i="12"/>
  <c r="M123" i="12"/>
  <c r="M129" i="12"/>
  <c r="M138" i="12"/>
  <c r="M119" i="12"/>
  <c r="M136" i="12"/>
  <c r="E114" i="12"/>
  <c r="E128" i="12"/>
  <c r="E120" i="12"/>
  <c r="E203" i="12" s="1"/>
  <c r="E124" i="12"/>
  <c r="E205" i="12" s="1"/>
  <c r="E130" i="12"/>
  <c r="E133" i="12"/>
  <c r="E139" i="12"/>
  <c r="E214" i="12" s="1"/>
  <c r="E117" i="12"/>
  <c r="E135" i="12"/>
  <c r="E122" i="12"/>
  <c r="E143" i="12"/>
  <c r="E115" i="12"/>
  <c r="E131" i="12"/>
  <c r="E121" i="12"/>
  <c r="E204" i="12" s="1"/>
  <c r="E140" i="12"/>
  <c r="E127" i="12"/>
  <c r="E118" i="12"/>
  <c r="E137" i="12"/>
  <c r="E125" i="12"/>
  <c r="E129" i="12"/>
  <c r="E208" i="12" s="1"/>
  <c r="E132" i="12"/>
  <c r="E211" i="12" s="1"/>
  <c r="E142" i="12"/>
  <c r="E116" i="12"/>
  <c r="E134" i="12"/>
  <c r="E123" i="12"/>
  <c r="E138" i="12"/>
  <c r="E119" i="12"/>
  <c r="E136" i="12"/>
  <c r="E126" i="12"/>
  <c r="E207" i="12" s="1"/>
  <c r="E141" i="12"/>
  <c r="E217" i="12" s="1"/>
  <c r="E144" i="12"/>
  <c r="K152" i="12"/>
  <c r="M152" i="12"/>
  <c r="N152" i="12"/>
  <c r="H152" i="12"/>
  <c r="I152" i="12"/>
  <c r="J152" i="12"/>
  <c r="L206" i="12"/>
  <c r="G153" i="12"/>
  <c r="E153" i="12"/>
  <c r="F153" i="12"/>
  <c r="M211" i="12"/>
  <c r="E99" i="12"/>
  <c r="F99" i="12"/>
  <c r="G99" i="12"/>
  <c r="G196" i="12" s="1"/>
  <c r="E108" i="12"/>
  <c r="F108" i="12"/>
  <c r="G108" i="12"/>
  <c r="F205" i="12"/>
  <c r="E209" i="12"/>
  <c r="I88" i="12"/>
  <c r="I205" i="12" s="1"/>
  <c r="J88" i="12"/>
  <c r="J205" i="12" s="1"/>
  <c r="K88" i="12"/>
  <c r="K205" i="12" s="1"/>
  <c r="L88" i="12"/>
  <c r="L205" i="12" s="1"/>
  <c r="M88" i="12"/>
  <c r="M205" i="12" s="1"/>
  <c r="N88" i="12"/>
  <c r="N205" i="12" s="1"/>
  <c r="H88" i="12"/>
  <c r="H205" i="12" s="1"/>
  <c r="L214" i="12"/>
  <c r="H100" i="12"/>
  <c r="I100" i="12"/>
  <c r="I197" i="12" s="1"/>
  <c r="J100" i="12"/>
  <c r="J197" i="12" s="1"/>
  <c r="K100" i="12"/>
  <c r="K197" i="12" s="1"/>
  <c r="L100" i="12"/>
  <c r="L197" i="12" s="1"/>
  <c r="M100" i="12"/>
  <c r="M197" i="12" s="1"/>
  <c r="N100" i="12"/>
  <c r="N197" i="12" s="1"/>
  <c r="E50" i="12"/>
  <c r="E47" i="12"/>
  <c r="O116" i="12"/>
  <c r="O134" i="12"/>
  <c r="O119" i="12"/>
  <c r="O138" i="12"/>
  <c r="O114" i="12"/>
  <c r="O128" i="12"/>
  <c r="O120" i="12"/>
  <c r="O203" i="12" s="1"/>
  <c r="O130" i="12"/>
  <c r="O209" i="12" s="1"/>
  <c r="O139" i="12"/>
  <c r="O214" i="12" s="1"/>
  <c r="O127" i="12"/>
  <c r="O117" i="12"/>
  <c r="O177" i="12" s="1"/>
  <c r="O135" i="12"/>
  <c r="O197" i="12" s="1"/>
  <c r="O124" i="12"/>
  <c r="O205" i="12" s="1"/>
  <c r="O126" i="12"/>
  <c r="O207" i="12" s="1"/>
  <c r="O133" i="12"/>
  <c r="O212" i="12" s="1"/>
  <c r="O141" i="12"/>
  <c r="O217" i="12" s="1"/>
  <c r="O122" i="12"/>
  <c r="O143" i="12"/>
  <c r="O118" i="12"/>
  <c r="O137" i="12"/>
  <c r="O121" i="12"/>
  <c r="O204" i="12" s="1"/>
  <c r="O125" i="12"/>
  <c r="O206" i="12" s="1"/>
  <c r="O140" i="12"/>
  <c r="O216" i="12" s="1"/>
  <c r="O142" i="12"/>
  <c r="O218" i="12" s="1"/>
  <c r="O136" i="12"/>
  <c r="O213" i="12" s="1"/>
  <c r="O131" i="12"/>
  <c r="O144" i="12"/>
  <c r="O202" i="12" s="1"/>
  <c r="O132" i="12"/>
  <c r="O211" i="12" s="1"/>
  <c r="O115" i="12"/>
  <c r="O123" i="12"/>
  <c r="O129" i="12"/>
  <c r="F119" i="12"/>
  <c r="F182" i="12" s="1"/>
  <c r="F138" i="12"/>
  <c r="F141" i="12"/>
  <c r="F217" i="12" s="1"/>
  <c r="F114" i="12"/>
  <c r="F128" i="12"/>
  <c r="F120" i="12"/>
  <c r="F124" i="12"/>
  <c r="F126" i="12"/>
  <c r="F207" i="12" s="1"/>
  <c r="F130" i="12"/>
  <c r="F209" i="12" s="1"/>
  <c r="F139" i="12"/>
  <c r="F214" i="12" s="1"/>
  <c r="F127" i="12"/>
  <c r="F117" i="12"/>
  <c r="F177" i="12" s="1"/>
  <c r="F135" i="12"/>
  <c r="F133" i="12"/>
  <c r="F122" i="12"/>
  <c r="F143" i="12"/>
  <c r="F115" i="12"/>
  <c r="F131" i="12"/>
  <c r="F121" i="12"/>
  <c r="F204" i="12" s="1"/>
  <c r="F123" i="12"/>
  <c r="F144" i="12"/>
  <c r="F129" i="12"/>
  <c r="F208" i="12" s="1"/>
  <c r="F136" i="12"/>
  <c r="F118" i="12"/>
  <c r="F142" i="12"/>
  <c r="F134" i="12"/>
  <c r="F125" i="12"/>
  <c r="F140" i="12"/>
  <c r="F116" i="12"/>
  <c r="F132" i="12"/>
  <c r="F211" i="12" s="1"/>
  <c r="F137" i="12"/>
  <c r="O208" i="12"/>
  <c r="L147" i="12"/>
  <c r="G147" i="12"/>
  <c r="G177" i="12" s="1"/>
  <c r="E147" i="12"/>
  <c r="F147" i="12"/>
  <c r="E152" i="12"/>
  <c r="F152" i="12"/>
  <c r="G152" i="12"/>
  <c r="M145" i="12"/>
  <c r="N145" i="12"/>
  <c r="H145" i="12"/>
  <c r="I145" i="12"/>
  <c r="I172" i="12" s="1"/>
  <c r="J145" i="12"/>
  <c r="K145" i="12"/>
  <c r="E150" i="12"/>
  <c r="F150" i="12"/>
  <c r="G150" i="12"/>
  <c r="G197" i="12" s="1"/>
  <c r="K203" i="12"/>
  <c r="K206" i="12"/>
  <c r="K93" i="12"/>
  <c r="K208" i="12" s="1"/>
  <c r="M93" i="12"/>
  <c r="N93" i="12"/>
  <c r="H93" i="12"/>
  <c r="H208" i="12" s="1"/>
  <c r="I93" i="12"/>
  <c r="I208" i="12" s="1"/>
  <c r="J93" i="12"/>
  <c r="J208" i="12" s="1"/>
  <c r="L93" i="12"/>
  <c r="L208" i="12" s="1"/>
  <c r="G214" i="12"/>
  <c r="E105" i="12"/>
  <c r="E215" i="12" s="1"/>
  <c r="G105" i="12"/>
  <c r="G215" i="12" s="1"/>
  <c r="F105" i="12"/>
  <c r="F215" i="12" s="1"/>
  <c r="I214" i="12"/>
  <c r="H77" i="12"/>
  <c r="I77" i="12"/>
  <c r="I173" i="12" s="1"/>
  <c r="J77" i="12"/>
  <c r="K77" i="12"/>
  <c r="L77" i="12"/>
  <c r="M77" i="12"/>
  <c r="N77" i="12"/>
  <c r="I94" i="12"/>
  <c r="I209" i="12" s="1"/>
  <c r="K94" i="12"/>
  <c r="K209" i="12" s="1"/>
  <c r="L94" i="12"/>
  <c r="L209" i="12" s="1"/>
  <c r="M94" i="12"/>
  <c r="M209" i="12" s="1"/>
  <c r="N94" i="12"/>
  <c r="N209" i="12" s="1"/>
  <c r="J94" i="12"/>
  <c r="J209" i="12" s="1"/>
  <c r="H94" i="12"/>
  <c r="H209" i="12" s="1"/>
  <c r="L57" i="12"/>
  <c r="L186" i="12" s="1"/>
  <c r="K57" i="12"/>
  <c r="K186" i="12" s="1"/>
  <c r="I61" i="12"/>
  <c r="J57" i="12"/>
  <c r="J186" i="12" s="1"/>
  <c r="G44" i="12"/>
  <c r="G173" i="12" s="1"/>
  <c r="M44" i="12"/>
  <c r="F43" i="12"/>
  <c r="F172" i="12" s="1"/>
  <c r="I57" i="12"/>
  <c r="I186" i="12" s="1"/>
  <c r="P44" i="12"/>
  <c r="P173" i="12" s="1"/>
  <c r="H44" i="12"/>
  <c r="H173" i="12" s="1"/>
  <c r="N57" i="12"/>
  <c r="N186" i="12" s="1"/>
  <c r="H57" i="12"/>
  <c r="H186" i="12" s="1"/>
  <c r="K39" i="12"/>
  <c r="K168" i="12" s="1"/>
  <c r="O44" i="12"/>
  <c r="O173" i="12" s="1"/>
  <c r="F57" i="12"/>
  <c r="F186" i="12" s="1"/>
  <c r="O57" i="12"/>
  <c r="O186" i="12" s="1"/>
  <c r="P57" i="12"/>
  <c r="P186" i="12" s="1"/>
  <c r="P66" i="12"/>
  <c r="P194" i="12" s="1"/>
  <c r="L44" i="12"/>
  <c r="L173" i="12" s="1"/>
  <c r="F44" i="12"/>
  <c r="F173" i="12" s="1"/>
  <c r="E44" i="12"/>
  <c r="E173" i="12" s="1"/>
  <c r="K44" i="12"/>
  <c r="K173" i="12" s="1"/>
  <c r="M43" i="12"/>
  <c r="N44" i="12"/>
  <c r="N173" i="12" s="1"/>
  <c r="J44" i="12"/>
  <c r="J173" i="12" s="1"/>
  <c r="K43" i="12"/>
  <c r="K172" i="12" s="1"/>
  <c r="P43" i="12"/>
  <c r="P172" i="12" s="1"/>
  <c r="L43" i="12"/>
  <c r="H43" i="12"/>
  <c r="N43" i="12"/>
  <c r="N172" i="12" s="1"/>
  <c r="L56" i="12"/>
  <c r="L185" i="12" s="1"/>
  <c r="H63" i="12"/>
  <c r="H192" i="12" s="1"/>
  <c r="M35" i="12"/>
  <c r="M163" i="12" s="1"/>
  <c r="G37" i="12"/>
  <c r="G165" i="12" s="1"/>
  <c r="E43" i="12"/>
  <c r="E172" i="12" s="1"/>
  <c r="N37" i="12"/>
  <c r="N165" i="12" s="1"/>
  <c r="O43" i="12"/>
  <c r="O172" i="12" s="1"/>
  <c r="J43" i="12"/>
  <c r="J172" i="12" s="1"/>
  <c r="E68" i="12"/>
  <c r="E196" i="12" s="1"/>
  <c r="G43" i="12"/>
  <c r="I36" i="12"/>
  <c r="I164" i="12" s="1"/>
  <c r="H46" i="12"/>
  <c r="H175" i="12" s="1"/>
  <c r="G36" i="12"/>
  <c r="G164" i="12" s="1"/>
  <c r="E72" i="12"/>
  <c r="L45" i="12"/>
  <c r="M36" i="12"/>
  <c r="M164" i="12" s="1"/>
  <c r="L72" i="12"/>
  <c r="L200" i="12" s="1"/>
  <c r="P67" i="12"/>
  <c r="P195" i="12" s="1"/>
  <c r="J35" i="12"/>
  <c r="J163" i="12" s="1"/>
  <c r="E36" i="12"/>
  <c r="J72" i="12"/>
  <c r="J200" i="12" s="1"/>
  <c r="I72" i="12"/>
  <c r="I200" i="12" s="1"/>
  <c r="O46" i="12"/>
  <c r="P70" i="12"/>
  <c r="P198" i="12" s="1"/>
  <c r="J46" i="12"/>
  <c r="J175" i="12" s="1"/>
  <c r="O72" i="12"/>
  <c r="O200" i="12" s="1"/>
  <c r="O64" i="12"/>
  <c r="O193" i="12" s="1"/>
  <c r="M70" i="12"/>
  <c r="M198" i="12" s="1"/>
  <c r="I46" i="12"/>
  <c r="I175" i="12" s="1"/>
  <c r="G72" i="12"/>
  <c r="G200" i="12" s="1"/>
  <c r="I68" i="12"/>
  <c r="I196" i="12" s="1"/>
  <c r="K42" i="12"/>
  <c r="K171" i="12" s="1"/>
  <c r="K37" i="12"/>
  <c r="K165" i="12" s="1"/>
  <c r="O36" i="12"/>
  <c r="O164" i="12" s="1"/>
  <c r="J68" i="12"/>
  <c r="J196" i="12" s="1"/>
  <c r="E71" i="12"/>
  <c r="E199" i="12" s="1"/>
  <c r="L37" i="12"/>
  <c r="L165" i="12" s="1"/>
  <c r="H42" i="12"/>
  <c r="H171" i="12" s="1"/>
  <c r="P51" i="12"/>
  <c r="P180" i="12" s="1"/>
  <c r="G46" i="12"/>
  <c r="O35" i="12"/>
  <c r="O163" i="12" s="1"/>
  <c r="L51" i="12"/>
  <c r="L180" i="12" s="1"/>
  <c r="P46" i="12"/>
  <c r="P175" i="12" s="1"/>
  <c r="N46" i="12"/>
  <c r="N175" i="12" s="1"/>
  <c r="N35" i="12"/>
  <c r="N163" i="12" s="1"/>
  <c r="I37" i="12"/>
  <c r="I165" i="12" s="1"/>
  <c r="I55" i="12"/>
  <c r="I184" i="12" s="1"/>
  <c r="P37" i="12"/>
  <c r="P165" i="12" s="1"/>
  <c r="L46" i="12"/>
  <c r="L175" i="12" s="1"/>
  <c r="F35" i="12"/>
  <c r="F163" i="12" s="1"/>
  <c r="H37" i="12"/>
  <c r="H165" i="12" s="1"/>
  <c r="G55" i="12"/>
  <c r="G184" i="12" s="1"/>
  <c r="L50" i="12"/>
  <c r="L179" i="12" s="1"/>
  <c r="G45" i="12"/>
  <c r="G174" i="12" s="1"/>
  <c r="H72" i="12"/>
  <c r="H200" i="12" s="1"/>
  <c r="K72" i="12"/>
  <c r="K200" i="12" s="1"/>
  <c r="P72" i="12"/>
  <c r="P200" i="12" s="1"/>
  <c r="O63" i="12"/>
  <c r="O192" i="12" s="1"/>
  <c r="J38" i="12"/>
  <c r="J167" i="12" s="1"/>
  <c r="N72" i="12"/>
  <c r="N200" i="12" s="1"/>
  <c r="N63" i="12"/>
  <c r="N192" i="12" s="1"/>
  <c r="F72" i="12"/>
  <c r="F200" i="12" s="1"/>
  <c r="H61" i="12"/>
  <c r="H190" i="12" s="1"/>
  <c r="J67" i="12"/>
  <c r="J195" i="12" s="1"/>
  <c r="F70" i="12"/>
  <c r="F198" i="12" s="1"/>
  <c r="P35" i="12"/>
  <c r="P163" i="12" s="1"/>
  <c r="F46" i="12"/>
  <c r="F175" i="12" s="1"/>
  <c r="E35" i="12"/>
  <c r="H50" i="12"/>
  <c r="H58" i="12"/>
  <c r="H187" i="12" s="1"/>
  <c r="L36" i="12"/>
  <c r="L164" i="12" s="1"/>
  <c r="F36" i="12"/>
  <c r="F164" i="12" s="1"/>
  <c r="L62" i="12"/>
  <c r="L191" i="12" s="1"/>
  <c r="G62" i="12"/>
  <c r="G191" i="12" s="1"/>
  <c r="P36" i="12"/>
  <c r="P164" i="12" s="1"/>
  <c r="M46" i="12"/>
  <c r="M175" i="12" s="1"/>
  <c r="L35" i="12"/>
  <c r="L163" i="12" s="1"/>
  <c r="O50" i="12"/>
  <c r="O179" i="12" s="1"/>
  <c r="L58" i="12"/>
  <c r="L187" i="12" s="1"/>
  <c r="K36" i="12"/>
  <c r="K164" i="12" s="1"/>
  <c r="M49" i="12"/>
  <c r="M178" i="12" s="1"/>
  <c r="I50" i="12"/>
  <c r="I179" i="12" s="1"/>
  <c r="N36" i="12"/>
  <c r="N164" i="12" s="1"/>
  <c r="E46" i="12"/>
  <c r="E175" i="12" s="1"/>
  <c r="H35" i="12"/>
  <c r="H163" i="12" s="1"/>
  <c r="K35" i="12"/>
  <c r="K163" i="12" s="1"/>
  <c r="F50" i="12"/>
  <c r="F179" i="12" s="1"/>
  <c r="J36" i="12"/>
  <c r="J164" i="12" s="1"/>
  <c r="G35" i="12"/>
  <c r="G163" i="12" s="1"/>
  <c r="H55" i="12"/>
  <c r="H184" i="12" s="1"/>
  <c r="G50" i="12"/>
  <c r="G179" i="12" s="1"/>
  <c r="N61" i="12"/>
  <c r="N190" i="12" s="1"/>
  <c r="I62" i="12"/>
  <c r="I191" i="12" s="1"/>
  <c r="E54" i="12"/>
  <c r="K62" i="12"/>
  <c r="K191" i="12" s="1"/>
  <c r="N50" i="12"/>
  <c r="N179" i="12" s="1"/>
  <c r="N66" i="12"/>
  <c r="N194" i="12" s="1"/>
  <c r="N53" i="12"/>
  <c r="N182" i="12" s="1"/>
  <c r="P50" i="12"/>
  <c r="P179" i="12" s="1"/>
  <c r="M74" i="12"/>
  <c r="M202" i="12" s="1"/>
  <c r="K50" i="12"/>
  <c r="K179" i="12" s="1"/>
  <c r="M50" i="12"/>
  <c r="M179" i="12" s="1"/>
  <c r="N32" i="12"/>
  <c r="N161" i="12" s="1"/>
  <c r="P62" i="12"/>
  <c r="P191" i="12" s="1"/>
  <c r="M56" i="12"/>
  <c r="M185" i="12" s="1"/>
  <c r="F59" i="12"/>
  <c r="F188" i="12" s="1"/>
  <c r="J50" i="12"/>
  <c r="J179" i="12" s="1"/>
  <c r="I47" i="12"/>
  <c r="I176" i="12" s="1"/>
  <c r="H47" i="12"/>
  <c r="H176" i="12" s="1"/>
  <c r="M53" i="12"/>
  <c r="M182" i="12" s="1"/>
  <c r="P68" i="12"/>
  <c r="P196" i="12" s="1"/>
  <c r="P49" i="12"/>
  <c r="P178" i="12" s="1"/>
  <c r="P71" i="12"/>
  <c r="P199" i="12" s="1"/>
  <c r="L68" i="12"/>
  <c r="L196" i="12" s="1"/>
  <c r="K54" i="12"/>
  <c r="K183" i="12" s="1"/>
  <c r="E59" i="12"/>
  <c r="O37" i="12"/>
  <c r="O165" i="12" s="1"/>
  <c r="O38" i="12"/>
  <c r="O167" i="12" s="1"/>
  <c r="F58" i="12"/>
  <c r="F187" i="12" s="1"/>
  <c r="O55" i="12"/>
  <c r="O184" i="12" s="1"/>
  <c r="I45" i="12"/>
  <c r="I174" i="12" s="1"/>
  <c r="O47" i="12"/>
  <c r="O176" i="12" s="1"/>
  <c r="O62" i="12"/>
  <c r="O191" i="12" s="1"/>
  <c r="J62" i="12"/>
  <c r="J191" i="12" s="1"/>
  <c r="E53" i="12"/>
  <c r="P47" i="12"/>
  <c r="P176" i="12" s="1"/>
  <c r="O54" i="12"/>
  <c r="O183" i="12" s="1"/>
  <c r="J54" i="12"/>
  <c r="J183" i="12" s="1"/>
  <c r="L53" i="12"/>
  <c r="L182" i="12" s="1"/>
  <c r="G54" i="12"/>
  <c r="G183" i="12" s="1"/>
  <c r="N62" i="12"/>
  <c r="N191" i="12" s="1"/>
  <c r="K53" i="12"/>
  <c r="K182" i="12" s="1"/>
  <c r="P55" i="12"/>
  <c r="P184" i="12" s="1"/>
  <c r="H68" i="12"/>
  <c r="H196" i="12" s="1"/>
  <c r="O42" i="12"/>
  <c r="O171" i="12" s="1"/>
  <c r="N54" i="12"/>
  <c r="N183" i="12" s="1"/>
  <c r="H54" i="12"/>
  <c r="H183" i="12" s="1"/>
  <c r="O59" i="12"/>
  <c r="O188" i="12" s="1"/>
  <c r="J59" i="12"/>
  <c r="J188" i="12" s="1"/>
  <c r="F37" i="12"/>
  <c r="F165" i="12" s="1"/>
  <c r="N51" i="12"/>
  <c r="N180" i="12" s="1"/>
  <c r="L55" i="12"/>
  <c r="L184" i="12" s="1"/>
  <c r="F55" i="12"/>
  <c r="F184" i="12" s="1"/>
  <c r="H49" i="12"/>
  <c r="H178" i="12" s="1"/>
  <c r="L47" i="12"/>
  <c r="L176" i="12" s="1"/>
  <c r="F47" i="12"/>
  <c r="F176" i="12" s="1"/>
  <c r="M60" i="12"/>
  <c r="M189" i="12" s="1"/>
  <c r="F62" i="12"/>
  <c r="F191" i="12" s="1"/>
  <c r="J53" i="12"/>
  <c r="L54" i="12"/>
  <c r="L183" i="12" s="1"/>
  <c r="M59" i="12"/>
  <c r="M188" i="12" s="1"/>
  <c r="E49" i="12"/>
  <c r="E178" i="12" s="1"/>
  <c r="K74" i="12"/>
  <c r="K202" i="12" s="1"/>
  <c r="N68" i="12"/>
  <c r="N196" i="12" s="1"/>
  <c r="N42" i="12"/>
  <c r="N171" i="12" s="1"/>
  <c r="F54" i="12"/>
  <c r="F183" i="12" s="1"/>
  <c r="I71" i="12"/>
  <c r="I199" i="12" s="1"/>
  <c r="G59" i="12"/>
  <c r="G188" i="12" s="1"/>
  <c r="I59" i="12"/>
  <c r="I188" i="12" s="1"/>
  <c r="M37" i="12"/>
  <c r="M165" i="12" s="1"/>
  <c r="F51" i="12"/>
  <c r="F180" i="12" s="1"/>
  <c r="K55" i="12"/>
  <c r="K184" i="12" s="1"/>
  <c r="M55" i="12"/>
  <c r="M184" i="12" s="1"/>
  <c r="G49" i="12"/>
  <c r="G178" i="12" s="1"/>
  <c r="K47" i="12"/>
  <c r="K176" i="12" s="1"/>
  <c r="M47" i="12"/>
  <c r="M176" i="12" s="1"/>
  <c r="G60" i="12"/>
  <c r="G189" i="12" s="1"/>
  <c r="M62" i="12"/>
  <c r="M191" i="12" s="1"/>
  <c r="I53" i="12"/>
  <c r="I182" i="12" s="1"/>
  <c r="L59" i="12"/>
  <c r="L188" i="12" s="1"/>
  <c r="G47" i="12"/>
  <c r="G176" i="12" s="1"/>
  <c r="P53" i="12"/>
  <c r="P182" i="12" s="1"/>
  <c r="I54" i="12"/>
  <c r="I183" i="12" s="1"/>
  <c r="H59" i="12"/>
  <c r="H188" i="12" s="1"/>
  <c r="K59" i="12"/>
  <c r="K188" i="12" s="1"/>
  <c r="I38" i="12"/>
  <c r="I167" i="12" s="1"/>
  <c r="N55" i="12"/>
  <c r="N184" i="12" s="1"/>
  <c r="N47" i="12"/>
  <c r="N176" i="12" s="1"/>
  <c r="H62" i="12"/>
  <c r="H191" i="12" s="1"/>
  <c r="P54" i="12"/>
  <c r="P183" i="12" s="1"/>
  <c r="P59" i="12"/>
  <c r="P188" i="12" s="1"/>
  <c r="G74" i="12"/>
  <c r="F68" i="12"/>
  <c r="F42" i="12"/>
  <c r="F171" i="12" s="1"/>
  <c r="O71" i="12"/>
  <c r="O199" i="12" s="1"/>
  <c r="J37" i="12"/>
  <c r="J165" i="12" s="1"/>
  <c r="E51" i="12"/>
  <c r="J55" i="12"/>
  <c r="J184" i="12" s="1"/>
  <c r="J47" i="12"/>
  <c r="J176" i="12" s="1"/>
  <c r="H53" i="12"/>
  <c r="H182" i="12" s="1"/>
  <c r="P52" i="12"/>
  <c r="P181" i="12" s="1"/>
  <c r="G71" i="12"/>
  <c r="G199" i="12" s="1"/>
  <c r="G61" i="12"/>
  <c r="G190" i="12" s="1"/>
  <c r="O40" i="12"/>
  <c r="O169" i="12" s="1"/>
  <c r="M58" i="12"/>
  <c r="M187" i="12" s="1"/>
  <c r="I49" i="12"/>
  <c r="I178" i="12" s="1"/>
  <c r="N45" i="12"/>
  <c r="O70" i="12"/>
  <c r="O198" i="12" s="1"/>
  <c r="M41" i="12"/>
  <c r="L61" i="12"/>
  <c r="P38" i="12"/>
  <c r="P167" i="12" s="1"/>
  <c r="G52" i="12"/>
  <c r="G181" i="12" s="1"/>
  <c r="K61" i="12"/>
  <c r="K190" i="12" s="1"/>
  <c r="G64" i="12"/>
  <c r="G193" i="12" s="1"/>
  <c r="G38" i="12"/>
  <c r="G167" i="12" s="1"/>
  <c r="O67" i="12"/>
  <c r="O195" i="12" s="1"/>
  <c r="L70" i="12"/>
  <c r="L198" i="12" s="1"/>
  <c r="G53" i="12"/>
  <c r="G182" i="12" s="1"/>
  <c r="O33" i="12"/>
  <c r="O162" i="12" s="1"/>
  <c r="P45" i="12"/>
  <c r="P174" i="12" s="1"/>
  <c r="P65" i="12"/>
  <c r="P154" i="12" s="1"/>
  <c r="F52" i="12"/>
  <c r="F181" i="12" s="1"/>
  <c r="E64" i="12"/>
  <c r="E193" i="12" s="1"/>
  <c r="E38" i="12"/>
  <c r="E167" i="12" s="1"/>
  <c r="K58" i="12"/>
  <c r="K187" i="12" s="1"/>
  <c r="E67" i="12"/>
  <c r="K70" i="12"/>
  <c r="K198" i="12" s="1"/>
  <c r="P33" i="12"/>
  <c r="P162" i="12" s="1"/>
  <c r="J40" i="12"/>
  <c r="J169" i="12" s="1"/>
  <c r="G41" i="12"/>
  <c r="G170" i="12" s="1"/>
  <c r="J71" i="12"/>
  <c r="J199" i="12" s="1"/>
  <c r="L38" i="12"/>
  <c r="L167" i="12" s="1"/>
  <c r="I58" i="12"/>
  <c r="I187" i="12" s="1"/>
  <c r="L67" i="12"/>
  <c r="L195" i="12" s="1"/>
  <c r="N49" i="12"/>
  <c r="N178" i="12" s="1"/>
  <c r="J70" i="12"/>
  <c r="J198" i="12" s="1"/>
  <c r="N74" i="12"/>
  <c r="N202" i="12" s="1"/>
  <c r="F66" i="12"/>
  <c r="F194" i="12" s="1"/>
  <c r="F32" i="12"/>
  <c r="F161" i="12" s="1"/>
  <c r="E60" i="12"/>
  <c r="E189" i="12" s="1"/>
  <c r="N60" i="12"/>
  <c r="N189" i="12" s="1"/>
  <c r="P61" i="12"/>
  <c r="P190" i="12" s="1"/>
  <c r="P32" i="12"/>
  <c r="P161" i="12" s="1"/>
  <c r="F74" i="12"/>
  <c r="F202" i="12" s="1"/>
  <c r="L63" i="12"/>
  <c r="L192" i="12" s="1"/>
  <c r="K68" i="12"/>
  <c r="K196" i="12" s="1"/>
  <c r="G42" i="12"/>
  <c r="G171" i="12" s="1"/>
  <c r="O61" i="12"/>
  <c r="O190" i="12" s="1"/>
  <c r="K66" i="12"/>
  <c r="K194" i="12" s="1"/>
  <c r="M66" i="12"/>
  <c r="M194" i="12" s="1"/>
  <c r="I64" i="12"/>
  <c r="I193" i="12" s="1"/>
  <c r="M32" i="12"/>
  <c r="M161" i="12" s="1"/>
  <c r="M51" i="12"/>
  <c r="M180" i="12" s="1"/>
  <c r="G67" i="12"/>
  <c r="G195" i="12" s="1"/>
  <c r="H45" i="12"/>
  <c r="H174" i="12" s="1"/>
  <c r="E70" i="12"/>
  <c r="L60" i="12"/>
  <c r="L189" i="12" s="1"/>
  <c r="F60" i="12"/>
  <c r="F189" i="12" s="1"/>
  <c r="E66" i="12"/>
  <c r="E32" i="12"/>
  <c r="K60" i="12"/>
  <c r="K189" i="12" s="1"/>
  <c r="J66" i="12"/>
  <c r="J194" i="12" s="1"/>
  <c r="J74" i="12"/>
  <c r="J202" i="12" s="1"/>
  <c r="E74" i="12"/>
  <c r="L66" i="12"/>
  <c r="L194" i="12" s="1"/>
  <c r="J60" i="12"/>
  <c r="J189" i="12" s="1"/>
  <c r="P60" i="12"/>
  <c r="P189" i="12" s="1"/>
  <c r="M42" i="12"/>
  <c r="M171" i="12" s="1"/>
  <c r="F61" i="12"/>
  <c r="F190" i="12" s="1"/>
  <c r="H66" i="12"/>
  <c r="H194" i="12" s="1"/>
  <c r="P42" i="12"/>
  <c r="P171" i="12" s="1"/>
  <c r="H74" i="12"/>
  <c r="I56" i="12"/>
  <c r="L52" i="12"/>
  <c r="L181" i="12" s="1"/>
  <c r="F63" i="12"/>
  <c r="F192" i="12" s="1"/>
  <c r="O68" i="12"/>
  <c r="O196" i="12" s="1"/>
  <c r="J42" i="12"/>
  <c r="J171" i="12" s="1"/>
  <c r="E42" i="12"/>
  <c r="E171" i="12" s="1"/>
  <c r="M61" i="12"/>
  <c r="M190" i="12" s="1"/>
  <c r="O66" i="12"/>
  <c r="O194" i="12" s="1"/>
  <c r="L64" i="12"/>
  <c r="L193" i="12" s="1"/>
  <c r="O32" i="12"/>
  <c r="O161" i="12" s="1"/>
  <c r="J32" i="12"/>
  <c r="J161" i="12" s="1"/>
  <c r="O51" i="12"/>
  <c r="O180" i="12" s="1"/>
  <c r="J51" i="12"/>
  <c r="J180" i="12" s="1"/>
  <c r="L65" i="12"/>
  <c r="L154" i="12" s="1"/>
  <c r="I67" i="12"/>
  <c r="I195" i="12" s="1"/>
  <c r="G34" i="12"/>
  <c r="G166" i="12" s="1"/>
  <c r="K45" i="12"/>
  <c r="K174" i="12" s="1"/>
  <c r="G70" i="12"/>
  <c r="G198" i="12" s="1"/>
  <c r="I70" i="12"/>
  <c r="I198" i="12" s="1"/>
  <c r="H60" i="12"/>
  <c r="H189" i="12" s="1"/>
  <c r="P74" i="12"/>
  <c r="P202" i="12" s="1"/>
  <c r="I66" i="12"/>
  <c r="I194" i="12" s="1"/>
  <c r="I32" i="12"/>
  <c r="I161" i="12" s="1"/>
  <c r="L32" i="12"/>
  <c r="L161" i="12" s="1"/>
  <c r="I74" i="12"/>
  <c r="I202" i="12" s="1"/>
  <c r="L74" i="12"/>
  <c r="L202" i="12" s="1"/>
  <c r="M52" i="12"/>
  <c r="M181" i="12" s="1"/>
  <c r="H32" i="12"/>
  <c r="H161" i="12" s="1"/>
  <c r="K32" i="12"/>
  <c r="K161" i="12" s="1"/>
  <c r="H51" i="12"/>
  <c r="H180" i="12" s="1"/>
  <c r="K51" i="12"/>
  <c r="K180" i="12" s="1"/>
  <c r="I34" i="12"/>
  <c r="I166" i="12" s="1"/>
  <c r="I60" i="12"/>
  <c r="I189" i="12" s="1"/>
  <c r="P64" i="12"/>
  <c r="P193" i="12" s="1"/>
  <c r="F56" i="12"/>
  <c r="O52" i="12"/>
  <c r="O181" i="12" s="1"/>
  <c r="M68" i="12"/>
  <c r="M196" i="12" s="1"/>
  <c r="I42" i="12"/>
  <c r="I171" i="12" s="1"/>
  <c r="J61" i="12"/>
  <c r="J190" i="12" s="1"/>
  <c r="J64" i="12"/>
  <c r="J193" i="12" s="1"/>
  <c r="G51" i="12"/>
  <c r="G180" i="12" s="1"/>
  <c r="F33" i="12"/>
  <c r="F162" i="12" s="1"/>
  <c r="L34" i="12"/>
  <c r="L166" i="12" s="1"/>
  <c r="N70" i="12"/>
  <c r="N198" i="12" s="1"/>
  <c r="N31" i="12"/>
  <c r="N160" i="12" s="1"/>
  <c r="P31" i="12"/>
  <c r="P160" i="12" s="1"/>
  <c r="H31" i="12"/>
  <c r="H160" i="12" s="1"/>
  <c r="G31" i="12"/>
  <c r="G160" i="12" s="1"/>
  <c r="F31" i="12"/>
  <c r="F160" i="12" s="1"/>
  <c r="O31" i="12"/>
  <c r="O160" i="12" s="1"/>
  <c r="J31" i="12"/>
  <c r="J160" i="12" s="1"/>
  <c r="K31" i="12"/>
  <c r="K160" i="12" s="1"/>
  <c r="I31" i="12"/>
  <c r="I160" i="12" s="1"/>
  <c r="L31" i="12"/>
  <c r="L160" i="12" s="1"/>
  <c r="E31" i="12"/>
  <c r="E160" i="12" s="1"/>
  <c r="M31" i="12"/>
  <c r="M160" i="12" s="1"/>
  <c r="G40" i="12"/>
  <c r="G169" i="12" s="1"/>
  <c r="K65" i="12"/>
  <c r="K154" i="12" s="1"/>
  <c r="M33" i="12"/>
  <c r="M162" i="12" s="1"/>
  <c r="G33" i="12"/>
  <c r="G162" i="12" s="1"/>
  <c r="H34" i="12"/>
  <c r="H166" i="12" s="1"/>
  <c r="E41" i="12"/>
  <c r="P34" i="12"/>
  <c r="P166" i="12" s="1"/>
  <c r="E56" i="12"/>
  <c r="E185" i="12" s="1"/>
  <c r="E52" i="12"/>
  <c r="E181" i="12" s="1"/>
  <c r="N52" i="12"/>
  <c r="N181" i="12" s="1"/>
  <c r="G63" i="12"/>
  <c r="G192" i="12" s="1"/>
  <c r="H71" i="12"/>
  <c r="N40" i="12"/>
  <c r="N169" i="12" s="1"/>
  <c r="H64" i="12"/>
  <c r="H193" i="12" s="1"/>
  <c r="K64" i="12"/>
  <c r="K38" i="12"/>
  <c r="K167" i="12" s="1"/>
  <c r="J58" i="12"/>
  <c r="J187" i="12" s="1"/>
  <c r="E58" i="12"/>
  <c r="E187" i="12" s="1"/>
  <c r="J65" i="12"/>
  <c r="J154" i="12" s="1"/>
  <c r="E33" i="12"/>
  <c r="H67" i="12"/>
  <c r="H195" i="12" s="1"/>
  <c r="K67" i="12"/>
  <c r="K195" i="12" s="1"/>
  <c r="O34" i="12"/>
  <c r="O166" i="12" s="1"/>
  <c r="F49" i="12"/>
  <c r="F178" i="12" s="1"/>
  <c r="O49" i="12"/>
  <c r="O178" i="12" s="1"/>
  <c r="O45" i="12"/>
  <c r="O174" i="12" s="1"/>
  <c r="L41" i="12"/>
  <c r="L170" i="12" s="1"/>
  <c r="O53" i="12"/>
  <c r="O182" i="12" s="1"/>
  <c r="K41" i="12"/>
  <c r="K170" i="12" s="1"/>
  <c r="H56" i="12"/>
  <c r="H185" i="12" s="1"/>
  <c r="K56" i="12"/>
  <c r="K52" i="12"/>
  <c r="K181" i="12" s="1"/>
  <c r="M40" i="12"/>
  <c r="M169" i="12" s="1"/>
  <c r="J41" i="12"/>
  <c r="J170" i="12" s="1"/>
  <c r="P40" i="12"/>
  <c r="P169" i="12" s="1"/>
  <c r="P56" i="12"/>
  <c r="P185" i="12" s="1"/>
  <c r="O56" i="12"/>
  <c r="J56" i="12"/>
  <c r="J185" i="12" s="1"/>
  <c r="J52" i="12"/>
  <c r="J181" i="12" s="1"/>
  <c r="K63" i="12"/>
  <c r="K192" i="12" s="1"/>
  <c r="M63" i="12"/>
  <c r="M192" i="12" s="1"/>
  <c r="N71" i="12"/>
  <c r="E40" i="12"/>
  <c r="N64" i="12"/>
  <c r="N193" i="12" s="1"/>
  <c r="N38" i="12"/>
  <c r="N167" i="12" s="1"/>
  <c r="H38" i="12"/>
  <c r="H167" i="12" s="1"/>
  <c r="O58" i="12"/>
  <c r="O187" i="12" s="1"/>
  <c r="F65" i="12"/>
  <c r="F154" i="12" s="1"/>
  <c r="O65" i="12"/>
  <c r="O154" i="12" s="1"/>
  <c r="J33" i="12"/>
  <c r="J162" i="12" s="1"/>
  <c r="N67" i="12"/>
  <c r="N195" i="12" s="1"/>
  <c r="F34" i="12"/>
  <c r="F166" i="12" s="1"/>
  <c r="L49" i="12"/>
  <c r="L178" i="12" s="1"/>
  <c r="F45" i="12"/>
  <c r="F174" i="12" s="1"/>
  <c r="I41" i="12"/>
  <c r="I170" i="12" s="1"/>
  <c r="F40" i="12"/>
  <c r="F169" i="12" s="1"/>
  <c r="I65" i="12"/>
  <c r="I154" i="12" s="1"/>
  <c r="L33" i="12"/>
  <c r="L162" i="12" s="1"/>
  <c r="N34" i="12"/>
  <c r="N166" i="12" s="1"/>
  <c r="P58" i="12"/>
  <c r="P187" i="12" s="1"/>
  <c r="G56" i="12"/>
  <c r="I52" i="12"/>
  <c r="I181" i="12" s="1"/>
  <c r="J63" i="12"/>
  <c r="J192" i="12" s="1"/>
  <c r="E63" i="12"/>
  <c r="E192" i="12" s="1"/>
  <c r="L71" i="12"/>
  <c r="L199" i="12" s="1"/>
  <c r="F71" i="12"/>
  <c r="I40" i="12"/>
  <c r="I169" i="12" s="1"/>
  <c r="L40" i="12"/>
  <c r="L169" i="12" s="1"/>
  <c r="F64" i="12"/>
  <c r="F193" i="12" s="1"/>
  <c r="F38" i="12"/>
  <c r="F167" i="12" s="1"/>
  <c r="G58" i="12"/>
  <c r="G187" i="12" s="1"/>
  <c r="M65" i="12"/>
  <c r="M154" i="12" s="1"/>
  <c r="G65" i="12"/>
  <c r="G154" i="12" s="1"/>
  <c r="I33" i="12"/>
  <c r="I162" i="12" s="1"/>
  <c r="F67" i="12"/>
  <c r="K34" i="12"/>
  <c r="K166" i="12" s="1"/>
  <c r="M34" i="12"/>
  <c r="M166" i="12" s="1"/>
  <c r="K49" i="12"/>
  <c r="K178" i="12" s="1"/>
  <c r="M45" i="12"/>
  <c r="M174" i="12" s="1"/>
  <c r="N41" i="12"/>
  <c r="N170" i="12" s="1"/>
  <c r="H41" i="12"/>
  <c r="H170" i="12" s="1"/>
  <c r="P41" i="12"/>
  <c r="N65" i="12"/>
  <c r="N154" i="12" s="1"/>
  <c r="H65" i="12"/>
  <c r="K33" i="12"/>
  <c r="K162" i="12" s="1"/>
  <c r="P63" i="12"/>
  <c r="P192" i="12" s="1"/>
  <c r="K71" i="12"/>
  <c r="K199" i="12" s="1"/>
  <c r="H40" i="12"/>
  <c r="H169" i="12" s="1"/>
  <c r="N33" i="12"/>
  <c r="N162" i="12" s="1"/>
  <c r="J34" i="12"/>
  <c r="J166" i="12" s="1"/>
  <c r="J45" i="12"/>
  <c r="J174" i="12" s="1"/>
  <c r="F41" i="12"/>
  <c r="F170" i="12" s="1"/>
  <c r="E179" i="12"/>
  <c r="G73" i="12"/>
  <c r="G201" i="12" s="1"/>
  <c r="O73" i="12"/>
  <c r="O201" i="12" s="1"/>
  <c r="H73" i="12"/>
  <c r="H201" i="12" s="1"/>
  <c r="I73" i="12"/>
  <c r="I201" i="12" s="1"/>
  <c r="J73" i="12"/>
  <c r="J201" i="12" s="1"/>
  <c r="K73" i="12"/>
  <c r="K201" i="12" s="1"/>
  <c r="L73" i="12"/>
  <c r="E73" i="12"/>
  <c r="M73" i="12"/>
  <c r="F73" i="12"/>
  <c r="F201" i="12" s="1"/>
  <c r="N73" i="12"/>
  <c r="N201" i="12" s="1"/>
  <c r="E176" i="12"/>
  <c r="E165" i="12"/>
  <c r="E154" i="12"/>
  <c r="E166" i="12"/>
  <c r="E174" i="12"/>
  <c r="E190" i="12"/>
  <c r="E168" i="12"/>
  <c r="E177" i="12"/>
  <c r="E186" i="12"/>
  <c r="E197" i="12"/>
  <c r="E191" i="12"/>
  <c r="P116" i="12"/>
  <c r="P124" i="12"/>
  <c r="P132" i="12"/>
  <c r="P140" i="12"/>
  <c r="P117" i="12"/>
  <c r="P141" i="12"/>
  <c r="P118" i="12"/>
  <c r="P142" i="12"/>
  <c r="P127" i="12"/>
  <c r="P122" i="12"/>
  <c r="P130" i="12"/>
  <c r="P138" i="12"/>
  <c r="P133" i="12"/>
  <c r="P134" i="12"/>
  <c r="P135" i="12"/>
  <c r="P115" i="12"/>
  <c r="P123" i="12"/>
  <c r="P131" i="12"/>
  <c r="P139" i="12"/>
  <c r="P125" i="12"/>
  <c r="P126" i="12"/>
  <c r="P119" i="12"/>
  <c r="P143" i="12"/>
  <c r="P129" i="12"/>
  <c r="P136" i="12"/>
  <c r="P114" i="12"/>
  <c r="P120" i="12"/>
  <c r="P128" i="12"/>
  <c r="P137" i="12"/>
  <c r="P144" i="12"/>
  <c r="P121" i="12"/>
  <c r="P177" i="12"/>
  <c r="M218" i="12" l="1"/>
  <c r="L201" i="12"/>
  <c r="G185" i="12"/>
  <c r="O185" i="12"/>
  <c r="M213" i="12"/>
  <c r="M204" i="12"/>
  <c r="J207" i="12"/>
  <c r="E213" i="12"/>
  <c r="N218" i="12"/>
  <c r="H154" i="12"/>
  <c r="H199" i="12"/>
  <c r="G172" i="12"/>
  <c r="N208" i="12"/>
  <c r="F216" i="12"/>
  <c r="L213" i="12"/>
  <c r="L204" i="12"/>
  <c r="I207" i="12"/>
  <c r="L218" i="12"/>
  <c r="K207" i="12"/>
  <c r="F195" i="12"/>
  <c r="F185" i="12"/>
  <c r="M172" i="12"/>
  <c r="M208" i="12"/>
  <c r="I213" i="12"/>
  <c r="H207" i="12"/>
  <c r="F199" i="12"/>
  <c r="N199" i="12"/>
  <c r="L190" i="12"/>
  <c r="G175" i="12"/>
  <c r="M173" i="12"/>
  <c r="G218" i="12"/>
  <c r="F206" i="12"/>
  <c r="E216" i="12"/>
  <c r="N207" i="12"/>
  <c r="K218" i="12"/>
  <c r="I185" i="12"/>
  <c r="M170" i="12"/>
  <c r="F196" i="12"/>
  <c r="O175" i="12"/>
  <c r="L174" i="12"/>
  <c r="H172" i="12"/>
  <c r="F218" i="12"/>
  <c r="M207" i="12"/>
  <c r="J218" i="12"/>
  <c r="A10" i="12"/>
  <c r="D9" i="12"/>
  <c r="H202" i="12"/>
  <c r="G202" i="12"/>
  <c r="L172" i="12"/>
  <c r="E218" i="12"/>
  <c r="E206" i="12"/>
  <c r="F212" i="12"/>
  <c r="I204" i="12"/>
  <c r="I218" i="12"/>
  <c r="M201" i="12"/>
  <c r="K185" i="12"/>
  <c r="K193" i="12"/>
  <c r="N174" i="12"/>
  <c r="J182" i="12"/>
  <c r="H179" i="12"/>
  <c r="I190" i="12"/>
  <c r="E212" i="12"/>
  <c r="L207" i="12"/>
  <c r="G213" i="12"/>
  <c r="H218" i="12"/>
  <c r="E200" i="12"/>
  <c r="E164" i="12"/>
  <c r="E182" i="12"/>
  <c r="E183" i="12"/>
  <c r="E163" i="12"/>
  <c r="E180" i="12"/>
  <c r="E170" i="12"/>
  <c r="E202" i="12"/>
  <c r="E195" i="12"/>
  <c r="E194" i="12"/>
  <c r="E188" i="12"/>
  <c r="E198" i="12"/>
  <c r="E161" i="12"/>
  <c r="E162" i="12"/>
  <c r="E169" i="12"/>
  <c r="E201" i="12"/>
  <c r="A11" i="12" l="1"/>
  <c r="D10" i="12"/>
  <c r="A12" i="12" l="1"/>
  <c r="D11" i="12"/>
  <c r="A13" i="12" l="1"/>
  <c r="D12" i="12"/>
  <c r="A14" i="12" l="1"/>
  <c r="D13" i="12"/>
  <c r="A15" i="12" l="1"/>
  <c r="D14" i="12"/>
  <c r="A16" i="12" l="1"/>
  <c r="D15" i="12"/>
  <c r="N128" i="2" s="1"/>
  <c r="A17" i="12" l="1"/>
  <c r="D16" i="12"/>
  <c r="E24" i="2" s="1"/>
  <c r="A18" i="12" l="1"/>
  <c r="D17" i="12"/>
  <c r="A19" i="12" l="1"/>
  <c r="D18" i="12"/>
  <c r="A20" i="12" l="1"/>
  <c r="D19" i="12"/>
  <c r="D20" i="12" l="1"/>
  <c r="A21" i="12"/>
  <c r="D21" i="12" l="1"/>
  <c r="A22" i="12"/>
  <c r="D22" i="12" l="1"/>
  <c r="A23" i="12"/>
  <c r="D23" i="12" l="1"/>
  <c r="A24" i="12"/>
  <c r="A25" i="12" l="1"/>
  <c r="D24" i="12"/>
  <c r="A26" i="12" l="1"/>
  <c r="D25" i="12"/>
  <c r="A27" i="12" l="1"/>
  <c r="D26" i="12"/>
  <c r="A28" i="12" l="1"/>
  <c r="D27" i="12"/>
  <c r="A29" i="12" l="1"/>
  <c r="D28" i="12"/>
  <c r="A30" i="12" l="1"/>
  <c r="D29" i="12"/>
  <c r="A31" i="12" l="1"/>
  <c r="D30" i="12"/>
  <c r="A32" i="12" l="1"/>
  <c r="D31" i="12"/>
  <c r="A33" i="12" l="1"/>
  <c r="D32" i="12"/>
  <c r="A34" i="12" l="1"/>
  <c r="D33" i="12"/>
  <c r="A35" i="12" l="1"/>
  <c r="D34" i="12"/>
  <c r="A36" i="12" l="1"/>
  <c r="D35" i="12"/>
  <c r="A37" i="12" l="1"/>
  <c r="D36" i="12"/>
  <c r="A38" i="12" l="1"/>
  <c r="D37" i="12"/>
  <c r="A39" i="12" l="1"/>
  <c r="D38" i="12"/>
  <c r="A40" i="12" l="1"/>
  <c r="D39" i="12"/>
  <c r="A41" i="12" l="1"/>
  <c r="D40" i="12"/>
  <c r="A42" i="12" l="1"/>
  <c r="D41" i="12"/>
  <c r="A43" i="12" l="1"/>
  <c r="D42" i="12"/>
  <c r="A44" i="12" l="1"/>
  <c r="D43" i="12"/>
  <c r="A45" i="12" l="1"/>
  <c r="D44" i="12"/>
  <c r="A46" i="12" l="1"/>
  <c r="D45" i="12"/>
  <c r="A47" i="12" l="1"/>
  <c r="D46" i="12"/>
  <c r="A48" i="12" l="1"/>
  <c r="D47" i="12"/>
  <c r="A49" i="12" l="1"/>
  <c r="D48" i="12"/>
  <c r="A50" i="12" l="1"/>
  <c r="D49" i="12"/>
  <c r="A51" i="12" l="1"/>
  <c r="D50" i="12"/>
  <c r="A52" i="12" l="1"/>
  <c r="D51" i="12"/>
  <c r="A53" i="12" l="1"/>
  <c r="D52" i="12"/>
  <c r="A54" i="12" l="1"/>
  <c r="D53" i="12"/>
  <c r="A55" i="12" l="1"/>
  <c r="D54" i="12"/>
  <c r="A56" i="12" l="1"/>
  <c r="D55" i="12"/>
  <c r="A57" i="12" l="1"/>
  <c r="D56" i="12"/>
  <c r="A58" i="12" l="1"/>
  <c r="D57" i="12"/>
  <c r="A59" i="12" l="1"/>
  <c r="D58" i="12"/>
  <c r="A60" i="12" l="1"/>
  <c r="D59" i="12"/>
  <c r="A61" i="12" l="1"/>
  <c r="D60" i="12"/>
  <c r="A62" i="12" l="1"/>
  <c r="D61" i="12"/>
  <c r="A63" i="12" l="1"/>
  <c r="D62" i="12"/>
  <c r="A64" i="12" l="1"/>
  <c r="D63" i="12"/>
  <c r="A65" i="12" l="1"/>
  <c r="D64" i="12"/>
  <c r="A66" i="12" l="1"/>
  <c r="D65" i="12"/>
  <c r="A67" i="12" l="1"/>
  <c r="D66" i="12"/>
  <c r="A68" i="12" l="1"/>
  <c r="D67" i="12"/>
  <c r="A69" i="12" l="1"/>
  <c r="D68" i="12"/>
  <c r="A70" i="12" l="1"/>
  <c r="D69" i="12"/>
  <c r="A71" i="12" l="1"/>
  <c r="D70" i="12"/>
  <c r="A72" i="12" l="1"/>
  <c r="D71" i="12"/>
  <c r="A73" i="12" l="1"/>
  <c r="D72" i="12"/>
  <c r="A74" i="12" l="1"/>
  <c r="D73" i="12"/>
  <c r="A75" i="12" l="1"/>
  <c r="D74" i="12"/>
  <c r="A76" i="12" l="1"/>
  <c r="D75" i="12"/>
  <c r="A77" i="12" l="1"/>
  <c r="D76" i="12"/>
  <c r="A78" i="12" l="1"/>
  <c r="D77" i="12"/>
  <c r="A79" i="12" l="1"/>
  <c r="D78" i="12"/>
  <c r="A80" i="12" l="1"/>
  <c r="D79" i="12"/>
  <c r="A81" i="12" l="1"/>
  <c r="D80" i="12"/>
  <c r="A82" i="12" l="1"/>
  <c r="D81" i="12"/>
  <c r="A83" i="12" l="1"/>
  <c r="D82" i="12"/>
  <c r="A84" i="12" l="1"/>
  <c r="D83" i="12"/>
  <c r="A85" i="12" l="1"/>
  <c r="D84" i="12"/>
  <c r="A86" i="12" l="1"/>
  <c r="D85" i="12"/>
  <c r="A87" i="12" l="1"/>
  <c r="D86" i="12"/>
  <c r="A88" i="12" l="1"/>
  <c r="D87" i="12"/>
  <c r="A89" i="12" l="1"/>
  <c r="D88" i="12"/>
  <c r="A90" i="12" l="1"/>
  <c r="D89" i="12"/>
  <c r="A91" i="12" l="1"/>
  <c r="D90" i="12"/>
  <c r="A92" i="12" l="1"/>
  <c r="D91" i="12"/>
  <c r="A93" i="12" l="1"/>
  <c r="D92" i="12"/>
  <c r="A94" i="12" l="1"/>
  <c r="D93" i="12"/>
  <c r="A95" i="12" l="1"/>
  <c r="D94" i="12"/>
  <c r="A96" i="12" l="1"/>
  <c r="D95" i="12"/>
  <c r="A97" i="12" l="1"/>
  <c r="D96" i="12"/>
  <c r="A98" i="12" l="1"/>
  <c r="D97" i="12"/>
  <c r="A99" i="12" l="1"/>
  <c r="D98" i="12"/>
  <c r="A100" i="12" l="1"/>
  <c r="D99" i="12"/>
  <c r="A101" i="12" l="1"/>
  <c r="D100" i="12"/>
  <c r="A102" i="12" l="1"/>
  <c r="D101" i="12"/>
  <c r="A103" i="12" l="1"/>
  <c r="D102" i="12"/>
  <c r="A104" i="12" l="1"/>
  <c r="D103" i="12"/>
  <c r="A105" i="12" l="1"/>
  <c r="D104" i="12"/>
  <c r="A106" i="12" l="1"/>
  <c r="D105" i="12"/>
  <c r="A107" i="12" l="1"/>
  <c r="D106" i="12"/>
  <c r="A108" i="12" l="1"/>
  <c r="D107" i="12"/>
  <c r="A109" i="12" l="1"/>
  <c r="D108" i="12"/>
  <c r="A110" i="12" l="1"/>
  <c r="D109" i="12"/>
  <c r="A111" i="12" l="1"/>
  <c r="D110" i="12"/>
  <c r="A112" i="12" l="1"/>
  <c r="D111" i="12"/>
  <c r="A113" i="12" l="1"/>
  <c r="D112" i="12"/>
  <c r="A114" i="12" l="1"/>
  <c r="D113" i="12"/>
  <c r="A115" i="12" l="1"/>
  <c r="D114" i="12"/>
  <c r="A116" i="12" l="1"/>
  <c r="D115" i="12"/>
  <c r="A117" i="12" l="1"/>
  <c r="D116" i="12"/>
  <c r="A118" i="12" l="1"/>
  <c r="D117" i="12"/>
  <c r="A119" i="12" l="1"/>
  <c r="D118" i="12"/>
  <c r="A120" i="12" l="1"/>
  <c r="D119" i="12"/>
  <c r="A121" i="12" l="1"/>
  <c r="D120" i="12"/>
  <c r="A122" i="12" l="1"/>
  <c r="D121" i="12"/>
  <c r="A123" i="12" l="1"/>
  <c r="D122" i="12"/>
  <c r="A124" i="12" l="1"/>
  <c r="D123" i="12"/>
  <c r="A125" i="12" l="1"/>
  <c r="D124" i="12"/>
  <c r="A126" i="12" l="1"/>
  <c r="D125" i="12"/>
  <c r="A127" i="12" l="1"/>
  <c r="D126" i="12"/>
  <c r="A128" i="12" l="1"/>
  <c r="D127" i="12"/>
  <c r="A129" i="12" l="1"/>
  <c r="D128" i="12"/>
  <c r="A130" i="12" l="1"/>
  <c r="D129" i="12"/>
  <c r="A131" i="12" l="1"/>
  <c r="D130" i="12"/>
  <c r="A132" i="12" l="1"/>
  <c r="D131" i="12"/>
  <c r="A133" i="12" l="1"/>
  <c r="D132" i="12"/>
  <c r="A134" i="12" l="1"/>
  <c r="D133" i="12"/>
  <c r="A135" i="12" l="1"/>
  <c r="D134" i="12"/>
  <c r="A136" i="12" l="1"/>
  <c r="D135" i="12"/>
  <c r="A137" i="12" l="1"/>
  <c r="D136" i="12"/>
  <c r="A138" i="12" l="1"/>
  <c r="D137" i="12"/>
  <c r="A139" i="12" l="1"/>
  <c r="D138" i="12"/>
  <c r="A140" i="12" l="1"/>
  <c r="D139" i="12"/>
  <c r="A141" i="12" l="1"/>
  <c r="D140" i="12"/>
  <c r="A142" i="12" l="1"/>
  <c r="D141" i="12"/>
  <c r="A143" i="12" l="1"/>
  <c r="D142" i="12"/>
  <c r="A144" i="12" l="1"/>
  <c r="D143" i="12"/>
  <c r="A145" i="12" l="1"/>
  <c r="D144" i="12"/>
  <c r="A146" i="12" l="1"/>
  <c r="D145" i="12"/>
  <c r="A147" i="12" l="1"/>
  <c r="D146" i="12"/>
  <c r="A148" i="12" l="1"/>
  <c r="D147" i="12"/>
  <c r="A149" i="12" l="1"/>
  <c r="D148" i="12"/>
  <c r="A150" i="12" l="1"/>
  <c r="D149" i="12"/>
  <c r="A151" i="12" l="1"/>
  <c r="D150" i="12"/>
  <c r="A152" i="12" l="1"/>
  <c r="D151" i="12"/>
  <c r="A153" i="12" l="1"/>
  <c r="D152" i="12"/>
  <c r="A154" i="12" l="1"/>
  <c r="D153" i="12"/>
  <c r="A155" i="12" l="1"/>
  <c r="D154" i="12"/>
  <c r="E26" i="2" s="1"/>
  <c r="G128" i="2" s="1"/>
  <c r="I128" i="2" s="1"/>
  <c r="A156" i="12" l="1"/>
  <c r="D155" i="12"/>
  <c r="E27" i="2" s="1"/>
  <c r="G129" i="2" s="1"/>
  <c r="I129" i="2" s="1"/>
  <c r="A157" i="12" l="1"/>
  <c r="D156" i="12"/>
  <c r="E28" i="2" s="1"/>
  <c r="G130" i="2" s="1"/>
  <c r="I130" i="2" s="1"/>
  <c r="A158" i="12" l="1"/>
  <c r="D157" i="12"/>
  <c r="E29" i="2" s="1"/>
  <c r="G131" i="2" s="1"/>
  <c r="I131" i="2" s="1"/>
  <c r="A159" i="12" l="1"/>
  <c r="D158" i="12"/>
  <c r="E30" i="2" s="1"/>
  <c r="G132" i="2" s="1"/>
  <c r="I132" i="2" s="1"/>
  <c r="A160" i="12" l="1"/>
  <c r="D159" i="12"/>
  <c r="E31" i="2" s="1"/>
  <c r="G133" i="2" s="1"/>
  <c r="I133" i="2" s="1"/>
  <c r="A161" i="12" l="1"/>
  <c r="D160" i="12"/>
  <c r="E33" i="2" s="1"/>
  <c r="G100" i="2" s="1"/>
  <c r="I100" i="2" s="1"/>
  <c r="A162" i="12" l="1"/>
  <c r="D161" i="12"/>
  <c r="E34" i="2" s="1"/>
  <c r="G101" i="2" s="1"/>
  <c r="I101" i="2" s="1"/>
  <c r="A163" i="12" l="1"/>
  <c r="D162" i="12"/>
  <c r="E35" i="2" s="1"/>
  <c r="G102" i="2" s="1"/>
  <c r="I102" i="2" s="1"/>
  <c r="A164" i="12" l="1"/>
  <c r="D163" i="12"/>
  <c r="E36" i="2" s="1"/>
  <c r="G103" i="2" s="1"/>
  <c r="I103" i="2" s="1"/>
  <c r="A165" i="12" l="1"/>
  <c r="D164" i="12"/>
  <c r="E37" i="2" s="1"/>
  <c r="G104" i="2" s="1"/>
  <c r="I104" i="2" s="1"/>
  <c r="A166" i="12" l="1"/>
  <c r="D165" i="12"/>
  <c r="E38" i="2" s="1"/>
  <c r="G105" i="2" s="1"/>
  <c r="I105" i="2" s="1"/>
  <c r="A167" i="12" l="1"/>
  <c r="D166" i="12"/>
  <c r="E39" i="2" s="1"/>
  <c r="G106" i="2" s="1"/>
  <c r="I106" i="2" s="1"/>
  <c r="A168" i="12" l="1"/>
  <c r="D167" i="12"/>
  <c r="E40" i="2" s="1"/>
  <c r="G107" i="2" s="1"/>
  <c r="I107" i="2" s="1"/>
  <c r="A169" i="12" l="1"/>
  <c r="D168" i="12"/>
  <c r="E41" i="2" s="1"/>
  <c r="G108" i="2" s="1"/>
  <c r="I108" i="2" s="1"/>
  <c r="A170" i="12" l="1"/>
  <c r="D169" i="12"/>
  <c r="E42" i="2" s="1"/>
  <c r="G109" i="2" s="1"/>
  <c r="I109" i="2" s="1"/>
  <c r="A171" i="12" l="1"/>
  <c r="D170" i="12"/>
  <c r="E43" i="2" s="1"/>
  <c r="G110" i="2" s="1"/>
  <c r="I110" i="2" s="1"/>
  <c r="A172" i="12" l="1"/>
  <c r="D171" i="12"/>
  <c r="E44" i="2" s="1"/>
  <c r="G111" i="2" s="1"/>
  <c r="I111" i="2" s="1"/>
  <c r="A173" i="12" l="1"/>
  <c r="D172" i="12"/>
  <c r="E45" i="2" s="1"/>
  <c r="G112" i="2" s="1"/>
  <c r="I112" i="2" s="1"/>
  <c r="A174" i="12" l="1"/>
  <c r="D173" i="12"/>
  <c r="E46" i="2" s="1"/>
  <c r="G113" i="2" s="1"/>
  <c r="I113" i="2" s="1"/>
  <c r="A175" i="12" l="1"/>
  <c r="D174" i="12"/>
  <c r="E47" i="2" s="1"/>
  <c r="G114" i="2" s="1"/>
  <c r="I114" i="2" s="1"/>
  <c r="A176" i="12" l="1"/>
  <c r="D175" i="12"/>
  <c r="E48" i="2" s="1"/>
  <c r="G115" i="2" s="1"/>
  <c r="I115" i="2" s="1"/>
  <c r="A177" i="12" l="1"/>
  <c r="D176" i="12"/>
  <c r="E49" i="2" s="1"/>
  <c r="G116" i="2" s="1"/>
  <c r="I116" i="2" s="1"/>
  <c r="A178" i="12" l="1"/>
  <c r="D177" i="12"/>
  <c r="E50" i="2" s="1"/>
  <c r="G117" i="2" s="1"/>
  <c r="I117" i="2" s="1"/>
  <c r="A179" i="12" l="1"/>
  <c r="D178" i="12"/>
  <c r="E51" i="2" s="1"/>
  <c r="G118" i="2" s="1"/>
  <c r="I118" i="2" s="1"/>
  <c r="A180" i="12" l="1"/>
  <c r="D179" i="12"/>
  <c r="E52" i="2" s="1"/>
  <c r="G119" i="2" s="1"/>
  <c r="I119" i="2" s="1"/>
  <c r="A181" i="12" l="1"/>
  <c r="D180" i="12"/>
  <c r="E54" i="2" s="1"/>
  <c r="G134" i="2" s="1"/>
  <c r="I134" i="2" s="1"/>
  <c r="A182" i="12" l="1"/>
  <c r="D181" i="12"/>
  <c r="E55" i="2" s="1"/>
  <c r="G135" i="2" s="1"/>
  <c r="I135" i="2" s="1"/>
  <c r="A183" i="12" l="1"/>
  <c r="D182" i="12"/>
  <c r="E56" i="2" s="1"/>
  <c r="G136" i="2" s="1"/>
  <c r="I136" i="2" s="1"/>
  <c r="A184" i="12" l="1"/>
  <c r="D183" i="12"/>
  <c r="E57" i="2" s="1"/>
  <c r="G137" i="2" s="1"/>
  <c r="I137" i="2" s="1"/>
  <c r="A185" i="12" l="1"/>
  <c r="D184" i="12"/>
  <c r="E58" i="2" s="1"/>
  <c r="G138" i="2" s="1"/>
  <c r="I138" i="2" s="1"/>
  <c r="A186" i="12" l="1"/>
  <c r="D185" i="12"/>
  <c r="E59" i="2" s="1"/>
  <c r="G139" i="2" s="1"/>
  <c r="I139" i="2" s="1"/>
  <c r="A187" i="12" l="1"/>
  <c r="D186" i="12"/>
  <c r="E60" i="2" s="1"/>
  <c r="G140" i="2" s="1"/>
  <c r="I140" i="2" s="1"/>
  <c r="A188" i="12" l="1"/>
  <c r="D187" i="12"/>
  <c r="E61" i="2" s="1"/>
  <c r="G141" i="2" s="1"/>
  <c r="I141" i="2" s="1"/>
  <c r="A189" i="12" l="1"/>
  <c r="D188" i="12"/>
  <c r="E62" i="2" s="1"/>
  <c r="G142" i="2" s="1"/>
  <c r="I142" i="2" s="1"/>
  <c r="A190" i="12" l="1"/>
  <c r="D189" i="12"/>
  <c r="E63" i="2" s="1"/>
  <c r="G143" i="2" s="1"/>
  <c r="I143" i="2" s="1"/>
  <c r="A191" i="12" l="1"/>
  <c r="D190" i="12"/>
  <c r="E64" i="2" s="1"/>
  <c r="G144" i="2" s="1"/>
  <c r="I144" i="2" s="1"/>
  <c r="A192" i="12" l="1"/>
  <c r="D191" i="12"/>
  <c r="E65" i="2" s="1"/>
  <c r="G145" i="2" s="1"/>
  <c r="I145" i="2" s="1"/>
  <c r="A193" i="12" l="1"/>
  <c r="D192" i="12"/>
  <c r="E66" i="2" s="1"/>
  <c r="G146" i="2" s="1"/>
  <c r="I146" i="2" s="1"/>
  <c r="A194" i="12" l="1"/>
  <c r="D193" i="12"/>
  <c r="E67" i="2" s="1"/>
  <c r="G147" i="2" s="1"/>
  <c r="I147" i="2" s="1"/>
  <c r="A195" i="12" l="1"/>
  <c r="D194" i="12"/>
  <c r="E68" i="2" s="1"/>
  <c r="G148" i="2" s="1"/>
  <c r="I148" i="2" s="1"/>
  <c r="A196" i="12" l="1"/>
  <c r="D195" i="12"/>
  <c r="E69" i="2" s="1"/>
  <c r="G149" i="2" s="1"/>
  <c r="I149" i="2" s="1"/>
  <c r="A197" i="12" l="1"/>
  <c r="D196" i="12"/>
  <c r="E70" i="2" s="1"/>
  <c r="G150" i="2" s="1"/>
  <c r="I150" i="2" s="1"/>
  <c r="A198" i="12" l="1"/>
  <c r="D197" i="12"/>
  <c r="E71" i="2" s="1"/>
  <c r="G151" i="2" s="1"/>
  <c r="I151" i="2" s="1"/>
  <c r="A199" i="12" l="1"/>
  <c r="D198" i="12"/>
  <c r="E72" i="2" s="1"/>
  <c r="G152" i="2" s="1"/>
  <c r="I152" i="2" s="1"/>
  <c r="A200" i="12" l="1"/>
  <c r="D199" i="12"/>
  <c r="E73" i="2" s="1"/>
  <c r="G153" i="2" s="1"/>
  <c r="I153" i="2" s="1"/>
  <c r="A201" i="12" l="1"/>
  <c r="D200" i="12"/>
  <c r="E74" i="2" s="1"/>
  <c r="G154" i="2" s="1"/>
  <c r="I154" i="2" s="1"/>
  <c r="A202" i="12" l="1"/>
  <c r="D201" i="12"/>
  <c r="E75" i="2" s="1"/>
  <c r="G155" i="2" s="1"/>
  <c r="I155" i="2" s="1"/>
  <c r="A203" i="12" l="1"/>
  <c r="D202" i="12"/>
  <c r="E76" i="2" s="1"/>
  <c r="G156" i="2" s="1"/>
  <c r="I156" i="2" s="1"/>
  <c r="A204" i="12" l="1"/>
  <c r="D203" i="12"/>
  <c r="E77" i="2" s="1"/>
  <c r="G157" i="2" s="1"/>
  <c r="I157" i="2" s="1"/>
  <c r="A205" i="12" l="1"/>
  <c r="D204" i="12"/>
  <c r="E78" i="2" s="1"/>
  <c r="G158" i="2" s="1"/>
  <c r="I158" i="2" s="1"/>
  <c r="A206" i="12" l="1"/>
  <c r="D205" i="12"/>
  <c r="E79" i="2" s="1"/>
  <c r="G159" i="2" s="1"/>
  <c r="I159" i="2" s="1"/>
  <c r="A207" i="12" l="1"/>
  <c r="D206" i="12"/>
  <c r="E80" i="2" s="1"/>
  <c r="G160" i="2" s="1"/>
  <c r="I160" i="2" s="1"/>
  <c r="A208" i="12" l="1"/>
  <c r="D207" i="12"/>
  <c r="E81" i="2" s="1"/>
  <c r="G161" i="2" s="1"/>
  <c r="I161" i="2" s="1"/>
  <c r="A209" i="12" l="1"/>
  <c r="D208" i="12"/>
  <c r="E82" i="2" s="1"/>
  <c r="G162" i="2" s="1"/>
  <c r="I162" i="2" s="1"/>
  <c r="A210" i="12" l="1"/>
  <c r="D209" i="12"/>
  <c r="E83" i="2" s="1"/>
  <c r="G163" i="2" s="1"/>
  <c r="I163" i="2" s="1"/>
  <c r="A211" i="12" l="1"/>
  <c r="D210" i="12"/>
  <c r="E84" i="2" s="1"/>
  <c r="G164" i="2" s="1"/>
  <c r="I164" i="2" s="1"/>
  <c r="A212" i="12" l="1"/>
  <c r="D211" i="12"/>
  <c r="E85" i="2" s="1"/>
  <c r="G165" i="2" s="1"/>
  <c r="I165" i="2" s="1"/>
  <c r="A213" i="12" l="1"/>
  <c r="D212" i="12"/>
  <c r="E86" i="2" s="1"/>
  <c r="G166" i="2" s="1"/>
  <c r="I166" i="2" s="1"/>
  <c r="A214" i="12" l="1"/>
  <c r="D213" i="12"/>
  <c r="E87" i="2" s="1"/>
  <c r="G167" i="2" s="1"/>
  <c r="I167" i="2" s="1"/>
  <c r="A215" i="12" l="1"/>
  <c r="D214" i="12"/>
  <c r="E88" i="2" s="1"/>
  <c r="G168" i="2" s="1"/>
  <c r="I168" i="2" s="1"/>
  <c r="A216" i="12" l="1"/>
  <c r="D215" i="12"/>
  <c r="E89" i="2" s="1"/>
  <c r="G169" i="2" s="1"/>
  <c r="I169" i="2" s="1"/>
  <c r="A217" i="12" l="1"/>
  <c r="D216" i="12"/>
  <c r="E90" i="2" s="1"/>
  <c r="G170" i="2" s="1"/>
  <c r="I170" i="2" s="1"/>
  <c r="A218" i="12" l="1"/>
  <c r="D217" i="12"/>
  <c r="E91" i="2" s="1"/>
  <c r="G171" i="2" s="1"/>
  <c r="I171" i="2" s="1"/>
  <c r="A219" i="12" l="1"/>
  <c r="D219" i="12" s="1"/>
  <c r="E93" i="2" s="1"/>
  <c r="G173" i="2" s="1"/>
  <c r="I173" i="2" s="1"/>
  <c r="D218" i="12"/>
  <c r="E92" i="2" s="1"/>
  <c r="G172" i="2" s="1"/>
  <c r="I172" i="2" s="1"/>
</calcChain>
</file>

<file path=xl/sharedStrings.xml><?xml version="1.0" encoding="utf-8"?>
<sst xmlns="http://schemas.openxmlformats.org/spreadsheetml/2006/main" count="2533" uniqueCount="1258">
  <si>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</si>
  <si>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</si>
  <si>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</si>
  <si>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</si>
  <si>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</si>
  <si>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</si>
  <si>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</si>
  <si>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</si>
  <si>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</si>
  <si>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</si>
  <si>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</si>
  <si>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</si>
  <si>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</si>
  <si>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</si>
  <si>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</si>
  <si>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</si>
  <si>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</si>
  <si>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</si>
  <si>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</si>
  <si>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</si>
  <si>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</si>
  <si>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</si>
  <si>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</si>
  <si>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</si>
  <si>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</si>
  <si>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</si>
  <si>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</si>
  <si>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</si>
  <si>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</si>
  <si>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</si>
  <si>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</si>
  <si>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</si>
  <si>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</si>
  <si>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</si>
  <si>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</si>
  <si>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</si>
  <si>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</si>
  <si>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</si>
  <si>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</si>
  <si>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</si>
  <si>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</si>
  <si>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</si>
  <si>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</si>
  <si>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</si>
  <si>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</si>
  <si>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</si>
  <si>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</si>
  <si>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</si>
  <si>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</si>
  <si>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</si>
  <si>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</si>
  <si>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</si>
  <si>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</si>
  <si>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</si>
  <si>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</si>
  <si>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</si>
  <si>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</si>
  <si>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</si>
  <si>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</si>
  <si>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</si>
  <si>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</si>
  <si>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</si>
  <si>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</si>
  <si>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</si>
  <si>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</si>
  <si>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</si>
  <si>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</si>
  <si>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</si>
  <si>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</si>
  <si>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</si>
  <si>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</si>
  <si>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</si>
  <si>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</si>
  <si>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</si>
  <si>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</si>
  <si>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</si>
  <si>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</si>
  <si>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</si>
  <si>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</si>
  <si>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</si>
  <si>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</si>
  <si>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</si>
  <si>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Emission to air</t>
  </si>
  <si>
    <t>Methane [Organic emissions to air (group VOC)]</t>
  </si>
  <si>
    <t>Carbon monoxide [Inorganic emissions to air]</t>
  </si>
  <si>
    <t>NMVOC (unspecified) [Group NMVOC to air]</t>
  </si>
  <si>
    <t>Dust (unspecified) [Particles to air]</t>
  </si>
  <si>
    <t>Mercury (+II) [Heavy metals to air]</t>
  </si>
  <si>
    <t>Ammonia [Inorganic emissions to air]</t>
  </si>
  <si>
    <t>Hydrogen chloride [Inorganic emissions to air]</t>
  </si>
  <si>
    <t>Aluminum (+III) [Inorganic emissions to fresh water]</t>
  </si>
  <si>
    <t>Emission to water</t>
  </si>
  <si>
    <t>Water (wastewater) [Water]</t>
  </si>
  <si>
    <t>Waste (solid) [Waste for disposal]</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</si>
  <si>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</si>
  <si>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</si>
  <si>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</si>
  <si>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</si>
  <si>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</si>
  <si>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</si>
  <si>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</si>
  <si>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</si>
  <si>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</si>
  <si>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</si>
  <si>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</si>
  <si>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</si>
  <si>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</si>
  <si>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</si>
  <si>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</si>
  <si>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</si>
  <si>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</si>
  <si>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</si>
  <si>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</si>
  <si>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</si>
  <si>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</si>
  <si>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</si>
  <si>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</si>
  <si>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</si>
  <si>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</si>
  <si>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</si>
  <si>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</si>
  <si>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</si>
  <si>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</si>
  <si>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</si>
  <si>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</si>
  <si>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</si>
  <si>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</si>
  <si>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</si>
  <si>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</si>
  <si>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</si>
  <si>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</si>
  <si>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</si>
  <si>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</si>
  <si>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</si>
  <si>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</si>
  <si>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</si>
  <si>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</si>
  <si>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</si>
  <si>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</si>
  <si>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</si>
  <si>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</si>
  <si>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</si>
  <si>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</si>
  <si>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</si>
  <si>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</si>
  <si>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</si>
  <si>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</si>
  <si>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</si>
  <si>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</si>
  <si>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</si>
  <si>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</si>
  <si>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</si>
  <si>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</si>
  <si>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</si>
  <si>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</si>
  <si>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</si>
  <si>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</si>
  <si>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</si>
  <si>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</si>
  <si>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</si>
  <si>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</si>
  <si>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</si>
  <si>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</si>
  <si>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</si>
  <si>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</si>
  <si>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</si>
  <si>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</si>
  <si>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</si>
  <si>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</si>
  <si>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</si>
  <si>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</si>
  <si>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</si>
  <si>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</si>
  <si>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</si>
  <si>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</si>
  <si>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</si>
  <si>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</si>
  <si>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</si>
  <si>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</si>
  <si>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</si>
  <si>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</si>
  <si>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</si>
  <si>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</si>
  <si>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</si>
  <si>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</si>
  <si>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</si>
  <si>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</si>
  <si>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</si>
  <si>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</si>
  <si>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</si>
  <si>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</si>
  <si>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</si>
  <si>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</si>
  <si>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</si>
  <si>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</si>
  <si>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</si>
  <si>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</si>
  <si>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</si>
  <si>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</si>
  <si>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</si>
  <si>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</si>
  <si>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</si>
  <si>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</si>
  <si>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</si>
  <si>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</si>
  <si>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</si>
  <si>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</si>
  <si>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</si>
  <si>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</si>
  <si>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</si>
  <si>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</si>
  <si>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</si>
  <si>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</si>
  <si>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</si>
  <si>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</si>
  <si>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</si>
  <si>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</si>
  <si>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</si>
  <si>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</si>
  <si>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</si>
  <si>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</si>
  <si>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</si>
  <si>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</si>
  <si>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</si>
  <si>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</si>
  <si>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</si>
  <si>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</si>
  <si>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</si>
  <si>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</si>
  <si>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</si>
  <si>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</si>
  <si>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water_in</t>
  </si>
  <si>
    <t>gasoline</t>
  </si>
  <si>
    <t>LPG</t>
  </si>
  <si>
    <t>nat_gas</t>
  </si>
  <si>
    <t>electricity</t>
  </si>
  <si>
    <t>oil_to_wat</t>
  </si>
  <si>
    <t>SS_to_wat</t>
  </si>
  <si>
    <t>water_out</t>
  </si>
  <si>
    <t>NH3_to_air</t>
  </si>
  <si>
    <t>CO2_to_air</t>
  </si>
  <si>
    <t>CO_to_air</t>
  </si>
  <si>
    <t>HCl_to_air</t>
  </si>
  <si>
    <t>Hg_to_air</t>
  </si>
  <si>
    <t>CH4_to_air</t>
  </si>
  <si>
    <t>NOx_to_air</t>
  </si>
  <si>
    <t>PM_to_air</t>
  </si>
  <si>
    <t>Chloride [Inorganic emissions to fresh water]</t>
  </si>
  <si>
    <t>Organic compounds (dissolved) [organic emissions to fresh water]</t>
  </si>
  <si>
    <t>Grease [Waste for recovery]</t>
  </si>
  <si>
    <t>Suspended solids, unspecified [Particles to fresh water]</t>
  </si>
  <si>
    <r>
      <rPr>
        <b/>
        <sz val="8"/>
        <rFont val="Arial"/>
        <family val="2"/>
      </rPr>
      <t>Inputs and outputs per m</t>
    </r>
    <r>
      <rPr>
        <b/>
        <sz val="5"/>
        <rFont val="Arial"/>
        <family val="2"/>
      </rPr>
      <t xml:space="preserve">3 </t>
    </r>
    <r>
      <rPr>
        <b/>
        <sz val="8"/>
        <rFont val="Arial"/>
        <family val="2"/>
      </rPr>
      <t xml:space="preserve">concrete
</t>
    </r>
    <r>
      <rPr>
        <b/>
        <sz val="8"/>
        <rFont val="Arial"/>
        <family val="2"/>
      </rPr>
      <t>(kg unless otherwise specified)</t>
    </r>
  </si>
  <si>
    <r>
      <rPr>
        <sz val="8"/>
        <rFont val="Arial"/>
        <family val="2"/>
      </rPr>
      <t>Water, non-process</t>
    </r>
  </si>
  <si>
    <r>
      <rPr>
        <sz val="8"/>
        <rFont val="Arial"/>
        <family val="2"/>
      </rPr>
      <t>Gasoline (L)</t>
    </r>
  </si>
  <si>
    <r>
      <rPr>
        <sz val="8"/>
        <rFont val="Arial"/>
        <family val="2"/>
      </rPr>
      <t>Liquefied petroleum gas (L)</t>
    </r>
  </si>
  <si>
    <r>
      <rPr>
        <sz val="8"/>
        <rFont val="Arial"/>
        <family val="2"/>
      </rPr>
      <t>Middle distillates (L)</t>
    </r>
  </si>
  <si>
    <r>
      <rPr>
        <sz val="8"/>
        <rFont val="Arial"/>
        <family val="2"/>
      </rPr>
      <t>Natural gas (thousand m</t>
    </r>
    <r>
      <rPr>
        <sz val="5"/>
        <rFont val="Arial"/>
        <family val="2"/>
      </rPr>
      <t>3</t>
    </r>
    <r>
      <rPr>
        <sz val="8"/>
        <rFont val="Arial"/>
        <family val="2"/>
      </rPr>
      <t>)</t>
    </r>
  </si>
  <si>
    <r>
      <rPr>
        <sz val="8"/>
        <rFont val="Arial"/>
        <family val="2"/>
      </rPr>
      <t>Electricity (kWh)</t>
    </r>
  </si>
  <si>
    <r>
      <rPr>
        <sz val="8"/>
        <rFont val="Arial"/>
        <family val="2"/>
      </rPr>
      <t>Chlorides</t>
    </r>
  </si>
  <si>
    <r>
      <rPr>
        <sz val="8"/>
        <rFont val="Arial"/>
        <family val="2"/>
      </rPr>
      <t>Copper</t>
    </r>
  </si>
  <si>
    <r>
      <rPr>
        <sz val="8"/>
        <rFont val="Arial"/>
        <family val="2"/>
      </rPr>
      <t>Iron</t>
    </r>
  </si>
  <si>
    <r>
      <rPr>
        <sz val="8"/>
        <rFont val="Arial"/>
        <family val="2"/>
      </rPr>
      <t>Oil and grease</t>
    </r>
  </si>
  <si>
    <r>
      <rPr>
        <sz val="8"/>
        <rFont val="Arial"/>
        <family val="2"/>
      </rPr>
      <t>Suspended solids</t>
    </r>
  </si>
  <si>
    <r>
      <rPr>
        <sz val="8"/>
        <rFont val="Arial"/>
        <family val="2"/>
      </rPr>
      <t>Water (that leaves site) (L)</t>
    </r>
  </si>
  <si>
    <t>Emissions to Air</t>
  </si>
  <si>
    <r>
      <rPr>
        <sz val="8"/>
        <rFont val="Arial"/>
        <family val="2"/>
      </rPr>
      <t>Ammonia, NH</t>
    </r>
    <r>
      <rPr>
        <sz val="5"/>
        <rFont val="Arial"/>
        <family val="2"/>
      </rPr>
      <t>3</t>
    </r>
  </si>
  <si>
    <r>
      <rPr>
        <sz val="8"/>
        <rFont val="Arial"/>
        <family val="2"/>
      </rPr>
      <t>Arsenic</t>
    </r>
  </si>
  <si>
    <r>
      <rPr>
        <sz val="8"/>
        <rFont val="Arial"/>
        <family val="2"/>
      </rPr>
      <t>Benzene</t>
    </r>
  </si>
  <si>
    <r>
      <rPr>
        <sz val="8"/>
        <rFont val="Arial"/>
        <family val="2"/>
      </rPr>
      <t>Beryllium</t>
    </r>
  </si>
  <si>
    <r>
      <rPr>
        <sz val="8"/>
        <rFont val="Arial"/>
        <family val="2"/>
      </rPr>
      <t>Cadmium</t>
    </r>
  </si>
  <si>
    <r>
      <rPr>
        <sz val="8"/>
        <rFont val="Arial"/>
        <family val="2"/>
      </rPr>
      <t>Carbon dioxide, CO</t>
    </r>
    <r>
      <rPr>
        <sz val="5"/>
        <rFont val="Arial"/>
        <family val="2"/>
      </rPr>
      <t>2</t>
    </r>
  </si>
  <si>
    <r>
      <rPr>
        <sz val="8"/>
        <rFont val="Arial"/>
        <family val="2"/>
      </rPr>
      <t>Carbon dioxide, CO</t>
    </r>
    <r>
      <rPr>
        <sz val="5"/>
        <rFont val="Arial"/>
        <family val="2"/>
      </rPr>
      <t>2</t>
    </r>
    <r>
      <rPr>
        <sz val="8"/>
        <rFont val="Arial"/>
        <family val="2"/>
      </rPr>
      <t>, combustion</t>
    </r>
  </si>
  <si>
    <r>
      <rPr>
        <sz val="8"/>
        <rFont val="Arial"/>
        <family val="2"/>
      </rPr>
      <t>Carbon monoxide, CO</t>
    </r>
  </si>
  <si>
    <r>
      <rPr>
        <sz val="8"/>
        <rFont val="Arial"/>
        <family val="2"/>
      </rPr>
      <t>Chromium</t>
    </r>
  </si>
  <si>
    <r>
      <rPr>
        <sz val="8"/>
        <rFont val="Arial"/>
        <family val="2"/>
      </rPr>
      <t>Cobalt</t>
    </r>
  </si>
  <si>
    <r>
      <rPr>
        <sz val="8"/>
        <rFont val="Arial"/>
        <family val="2"/>
      </rPr>
      <t>Dioxins and furans, TEQ 2,3,7,8-TCDD</t>
    </r>
  </si>
  <si>
    <r>
      <rPr>
        <sz val="8"/>
        <rFont val="Arial"/>
        <family val="2"/>
      </rPr>
      <t>Formaldehyde</t>
    </r>
  </si>
  <si>
    <r>
      <rPr>
        <sz val="8"/>
        <rFont val="Arial"/>
        <family val="2"/>
      </rPr>
      <t>Hydrogen chlorine, HCl</t>
    </r>
  </si>
  <si>
    <r>
      <rPr>
        <sz val="8"/>
        <rFont val="Arial"/>
        <family val="2"/>
      </rPr>
      <t>Lead</t>
    </r>
  </si>
  <si>
    <r>
      <rPr>
        <sz val="8"/>
        <rFont val="Arial"/>
        <family val="2"/>
      </rPr>
      <t>Manganese</t>
    </r>
  </si>
  <si>
    <r>
      <rPr>
        <sz val="8"/>
        <rFont val="Arial"/>
        <family val="2"/>
      </rPr>
      <t>Mercury, Hg</t>
    </r>
  </si>
  <si>
    <r>
      <rPr>
        <sz val="8"/>
        <rFont val="Arial"/>
        <family val="2"/>
      </rPr>
      <t>Methane, CH</t>
    </r>
    <r>
      <rPr>
        <sz val="5"/>
        <rFont val="Arial"/>
        <family val="2"/>
      </rPr>
      <t>4</t>
    </r>
  </si>
  <si>
    <r>
      <rPr>
        <sz val="8"/>
        <rFont val="Arial"/>
        <family val="2"/>
      </rPr>
      <t>Methylene chloride</t>
    </r>
  </si>
  <si>
    <r>
      <rPr>
        <sz val="8"/>
        <rFont val="Arial"/>
        <family val="2"/>
      </rPr>
      <t>Naphthalene</t>
    </r>
  </si>
  <si>
    <r>
      <rPr>
        <sz val="8"/>
        <rFont val="Arial"/>
        <family val="2"/>
      </rPr>
      <t>Nickel</t>
    </r>
  </si>
  <si>
    <r>
      <rPr>
        <sz val="8"/>
        <rFont val="Arial"/>
        <family val="2"/>
      </rPr>
      <t>Nitric oxide, NO (unspecified)</t>
    </r>
  </si>
  <si>
    <r>
      <rPr>
        <sz val="8"/>
        <rFont val="Arial"/>
        <family val="2"/>
      </rPr>
      <t>Nitrogen oxides, NO</t>
    </r>
    <r>
      <rPr>
        <sz val="5"/>
        <rFont val="Arial"/>
        <family val="2"/>
      </rPr>
      <t>X</t>
    </r>
  </si>
  <si>
    <r>
      <rPr>
        <sz val="8"/>
        <rFont val="Arial"/>
        <family val="2"/>
      </rPr>
      <t>Non-methane organic gases, NMOG</t>
    </r>
  </si>
  <si>
    <r>
      <rPr>
        <sz val="8"/>
        <rFont val="Arial"/>
        <family val="2"/>
      </rPr>
      <t>Particulates, PM-10</t>
    </r>
  </si>
  <si>
    <r>
      <rPr>
        <sz val="8"/>
        <rFont val="Arial"/>
        <family val="2"/>
      </rPr>
      <t>Particulates, total</t>
    </r>
  </si>
  <si>
    <r>
      <rPr>
        <sz val="8"/>
        <rFont val="Arial"/>
        <family val="2"/>
      </rPr>
      <t>Perchloroethylene</t>
    </r>
  </si>
  <si>
    <r>
      <rPr>
        <sz val="8"/>
        <rFont val="Arial"/>
        <family val="2"/>
      </rPr>
      <t>Phenolic compounds</t>
    </r>
  </si>
  <si>
    <r>
      <rPr>
        <sz val="8"/>
        <rFont val="Arial"/>
        <family val="2"/>
      </rPr>
      <t>Phosphorus</t>
    </r>
  </si>
  <si>
    <r>
      <rPr>
        <sz val="8"/>
        <rFont val="Arial"/>
        <family val="2"/>
      </rPr>
      <t>Radionuclides (kBq)</t>
    </r>
  </si>
  <si>
    <r>
      <rPr>
        <sz val="8"/>
        <rFont val="Arial"/>
        <family val="2"/>
      </rPr>
      <t>Selenium</t>
    </r>
  </si>
  <si>
    <r>
      <rPr>
        <sz val="8"/>
        <rFont val="Arial"/>
        <family val="2"/>
      </rPr>
      <t>Sulfur dioxide, SO</t>
    </r>
    <r>
      <rPr>
        <sz val="5"/>
        <rFont val="Arial"/>
        <family val="2"/>
      </rPr>
      <t>2</t>
    </r>
  </si>
  <si>
    <r>
      <rPr>
        <sz val="8"/>
        <rFont val="Arial"/>
        <family val="2"/>
      </rPr>
      <t>Sulfur oxides, SO</t>
    </r>
    <r>
      <rPr>
        <sz val="5"/>
        <rFont val="Arial"/>
        <family val="2"/>
      </rPr>
      <t>X</t>
    </r>
  </si>
  <si>
    <r>
      <rPr>
        <sz val="8"/>
        <rFont val="Arial"/>
        <family val="2"/>
      </rPr>
      <t>Total hydrocarbon, THC</t>
    </r>
  </si>
  <si>
    <r>
      <rPr>
        <sz val="8"/>
        <rFont val="Arial"/>
        <family val="2"/>
      </rPr>
      <t>Volatile organic compounds, VOC</t>
    </r>
  </si>
  <si>
    <r>
      <rPr>
        <sz val="8"/>
        <rFont val="Arial"/>
        <family val="2"/>
      </rPr>
      <t>Zinc</t>
    </r>
  </si>
  <si>
    <r>
      <rPr>
        <sz val="8"/>
        <rFont val="Arial"/>
        <family val="2"/>
      </rPr>
      <t>Emission to land</t>
    </r>
  </si>
  <si>
    <r>
      <rPr>
        <sz val="8"/>
        <rFont val="Arial"/>
        <family val="2"/>
      </rPr>
      <t>Other solid waste</t>
    </r>
  </si>
  <si>
    <t>changes in heavy metals to air emissions negligible</t>
  </si>
  <si>
    <t>emissions considered negligible</t>
  </si>
  <si>
    <t>L water</t>
  </si>
  <si>
    <t>kg water</t>
  </si>
  <si>
    <t>Fuel and electricity</t>
  </si>
  <si>
    <t>cu_to_wat</t>
  </si>
  <si>
    <t>Fe_to_wat</t>
  </si>
  <si>
    <t>As_to_air</t>
  </si>
  <si>
    <t>Be_to_air</t>
  </si>
  <si>
    <t>Cd_to_air</t>
  </si>
  <si>
    <t>Cr_to_air</t>
  </si>
  <si>
    <t>Cob_to_air</t>
  </si>
  <si>
    <t>Cu_to_air</t>
  </si>
  <si>
    <t>Pb_to_air</t>
  </si>
  <si>
    <t>Mn_to_air</t>
  </si>
  <si>
    <t>Ni_to_air</t>
  </si>
  <si>
    <t>P_to_air</t>
  </si>
  <si>
    <t>RN_to_air</t>
  </si>
  <si>
    <t>Se_to_air</t>
  </si>
  <si>
    <t>SOx_to_air</t>
  </si>
  <si>
    <t>Enter a Scenario ID below:</t>
  </si>
  <si>
    <t>Scenario ID</t>
  </si>
  <si>
    <t>[Units] Comments</t>
  </si>
  <si>
    <t>unit_weight</t>
  </si>
  <si>
    <t>[kg/m3] density of concrete mix</t>
  </si>
  <si>
    <t>distillate</t>
  </si>
  <si>
    <t>Scenario Descriptions:</t>
  </si>
  <si>
    <t>Compressive Strength (Mpa)</t>
  </si>
  <si>
    <t>Unit weight (kg/m3)</t>
  </si>
  <si>
    <t>cement (kg/m3 concrete)</t>
  </si>
  <si>
    <t>water (kg/m3 concrete)</t>
  </si>
  <si>
    <t>coarse aggegrate (kg/m3 concrete)</t>
  </si>
  <si>
    <t>fine aggregate (kg/m3 concrete)</t>
  </si>
  <si>
    <t>unspecified</t>
  </si>
  <si>
    <t>Precast Mix 1</t>
  </si>
  <si>
    <t>Precast Mix 2</t>
  </si>
  <si>
    <t>Precast Mix 3</t>
  </si>
  <si>
    <t>m3</t>
  </si>
  <si>
    <t>middle distillates</t>
  </si>
  <si>
    <t>natural gas</t>
  </si>
  <si>
    <t>Zinc [Heavy metals to air]</t>
  </si>
  <si>
    <t>Chromium (unspecified) [Heavy metals to fresh water]</t>
  </si>
  <si>
    <t>Copper [Heavy metals to fresh water]</t>
  </si>
  <si>
    <t>Copper [Heavy metals to air]</t>
  </si>
  <si>
    <t>Lead [Heavy metals to air]</t>
  </si>
  <si>
    <t>Manganese [Heavy metals to air]</t>
  </si>
  <si>
    <t>Nickel [Heavy metals to air]</t>
  </si>
  <si>
    <t>Tetrachloroethene (perchloroethylene) [Halogenated organic emissions to air]</t>
  </si>
  <si>
    <t>Phosphorus [Inorganic emissions to air]</t>
  </si>
  <si>
    <t>radionuclides [Radioactive emissions to air]</t>
  </si>
  <si>
    <t>Selenium [Heavy metals to air]</t>
  </si>
  <si>
    <t>Sulphur oxides [Inorganic emissions to air]</t>
  </si>
  <si>
    <t>Cadmium [Heavy metals to air]</t>
  </si>
  <si>
    <t>Beryllium [Inorganic emissions to air]</t>
  </si>
  <si>
    <t>Arsenic [Heavy metals to air]</t>
  </si>
  <si>
    <t>Iron [Heavy metals to fresh water]</t>
  </si>
  <si>
    <t>http://www.sciencedirect.com/science/article/pii/S0959652611000886</t>
  </si>
  <si>
    <t>Life Cycle Inventory of Portland Cement Concrete</t>
  </si>
  <si>
    <t>Medgar L. Marceau</t>
  </si>
  <si>
    <t>Michael A. Nisbet and Martha G. VanGeem</t>
  </si>
  <si>
    <t>2007</t>
  </si>
  <si>
    <t>Skokie, Illinois</t>
  </si>
  <si>
    <t>Portland Cement Association</t>
  </si>
  <si>
    <t>Report</t>
  </si>
  <si>
    <t>Used Appendix F</t>
  </si>
  <si>
    <t>2006</t>
  </si>
  <si>
    <t>US</t>
  </si>
  <si>
    <t>Feb 23, 2016</t>
  </si>
  <si>
    <t>Survey</t>
  </si>
  <si>
    <t>lb gasoline</t>
  </si>
  <si>
    <t>ft3 gasoline</t>
  </si>
  <si>
    <t>http://www.engineeringtoolbox.com/fuels-densities-specific-volumes-d_166.html</t>
  </si>
  <si>
    <t>L</t>
  </si>
  <si>
    <t>ft3</t>
  </si>
  <si>
    <t>lbm</t>
  </si>
  <si>
    <t>kg propane/LPG</t>
  </si>
  <si>
    <t>lb diesel/kerosene/middle distillates</t>
  </si>
  <si>
    <t>ft3 diesel/kerosene/middle distillates</t>
  </si>
  <si>
    <t>m3 propane/LPG</t>
  </si>
  <si>
    <t>m3 natural gas</t>
  </si>
  <si>
    <t>kg natural gas</t>
  </si>
  <si>
    <t>Fuels - Densities and Specific Volumes</t>
  </si>
  <si>
    <t>Feb 24, 2016</t>
  </si>
  <si>
    <t>The Engineering ToolbBox. Fuels - Densities and Specific Volumes</t>
  </si>
  <si>
    <t>The Engineering ToolBox</t>
  </si>
  <si>
    <t>An environmental evaluation of geopolymer based concrete production: reviewing current research trends</t>
  </si>
  <si>
    <t>G. Habert</t>
  </si>
  <si>
    <t>J.B. d'Espinose de Lacaillerie and N. Roussel</t>
  </si>
  <si>
    <t>Journal Article</t>
  </si>
  <si>
    <t>2011</t>
  </si>
  <si>
    <t>Journal of Cleaner Production</t>
  </si>
  <si>
    <t>19</t>
  </si>
  <si>
    <t>11</t>
  </si>
  <si>
    <t>July</t>
  </si>
  <si>
    <t>2010</t>
  </si>
  <si>
    <t>France</t>
  </si>
  <si>
    <t xml:space="preserve">Input and output flows for producing 1 m3 precast concrete from a precast concrete plant. </t>
  </si>
  <si>
    <t>mass per m3 concrete</t>
  </si>
  <si>
    <t>included in NMVOC category</t>
  </si>
  <si>
    <t>included in CO2 category</t>
  </si>
  <si>
    <t>Average</t>
  </si>
  <si>
    <t>Ready Mix 1</t>
  </si>
  <si>
    <t>Ready Mix 2</t>
  </si>
  <si>
    <t>Ready Mix 3</t>
  </si>
  <si>
    <t>Ready Mix 4</t>
  </si>
  <si>
    <t>Ready Mix 5</t>
  </si>
  <si>
    <t>Ready Mix 6</t>
  </si>
  <si>
    <t>Ready Mix 7</t>
  </si>
  <si>
    <t>CMU</t>
  </si>
  <si>
    <t>fly ash (kg/m3 concrete)</t>
  </si>
  <si>
    <t>slag cement (kg/m3 concrete)</t>
  </si>
  <si>
    <t>admixture (kg/m3 concrete)</t>
  </si>
  <si>
    <t>silica fume (kg/m3 concrete)</t>
  </si>
  <si>
    <t>mix_type</t>
  </si>
  <si>
    <t>[number] type of concrete mix: 1 = precast, 2 = ready mix, 3 = CMU</t>
  </si>
  <si>
    <t>PO4 to fresh water</t>
  </si>
  <si>
    <t>SO2 to fresh water</t>
  </si>
  <si>
    <t>C2H4 to air</t>
  </si>
  <si>
    <t>1,4 dichlorobenzene to fresh water</t>
  </si>
  <si>
    <t>CFC to air</t>
  </si>
  <si>
    <t>CO2 to air</t>
  </si>
  <si>
    <t>Sb</t>
  </si>
  <si>
    <t>from Table 2</t>
  </si>
  <si>
    <t>kg PO43- eq.</t>
  </si>
  <si>
    <t>Eutrophication</t>
  </si>
  <si>
    <t>kgSO2 eq.</t>
  </si>
  <si>
    <t>Acidification</t>
  </si>
  <si>
    <t>kg C2H4 eq.</t>
  </si>
  <si>
    <t>Photochemical oxidation</t>
  </si>
  <si>
    <t>kg 1,4-DB eq.</t>
  </si>
  <si>
    <t>Terrestrial ecotoxicity</t>
  </si>
  <si>
    <t>Marine aquatic ecotoxicity</t>
  </si>
  <si>
    <t>Fresh water aquatic ecotox.</t>
  </si>
  <si>
    <t>Human toxicity</t>
  </si>
  <si>
    <t>kg CFC-11 eq.</t>
  </si>
  <si>
    <t>Ozone layer depletion</t>
  </si>
  <si>
    <t>kg CO2 eq.</t>
  </si>
  <si>
    <t>Global warming potential</t>
  </si>
  <si>
    <t>kg Sb eq.</t>
  </si>
  <si>
    <t>Abiotic depletion</t>
  </si>
  <si>
    <t>CML 2001</t>
  </si>
  <si>
    <t>Notes</t>
  </si>
  <si>
    <t>Flow</t>
  </si>
  <si>
    <t>Subheader as Needed</t>
  </si>
  <si>
    <t>[Yellow-highlight cells are carried to data summary]</t>
  </si>
  <si>
    <t>carbon dioxide [emission to air]</t>
  </si>
  <si>
    <t>Dichlorobenzene (p-DCB; 1,4-dichlorobenzene) [Halogenated organic emissions to fresh water]</t>
  </si>
  <si>
    <t>Ethene (ethylene) [Group NMVOC to air]</t>
  </si>
  <si>
    <t>Sulphur dioxide [Inorganic emissions to fresh water]</t>
  </si>
  <si>
    <t>Phosphate [Inorganic emissions to fresh water]</t>
  </si>
  <si>
    <t>fa</t>
  </si>
  <si>
    <t>slag</t>
  </si>
  <si>
    <t>tonne</t>
  </si>
  <si>
    <t>lb fuel oil</t>
  </si>
  <si>
    <t>pc_limestone</t>
  </si>
  <si>
    <t>pc_shale</t>
  </si>
  <si>
    <t>pc_clay</t>
  </si>
  <si>
    <t>pc_fndry_sand</t>
  </si>
  <si>
    <t>pc_sand</t>
  </si>
  <si>
    <t>pc_iron_in</t>
  </si>
  <si>
    <t>pc_slag</t>
  </si>
  <si>
    <t>pc_slate</t>
  </si>
  <si>
    <t>pc_gypsum</t>
  </si>
  <si>
    <t>pc_water_in</t>
  </si>
  <si>
    <t>pc_coal</t>
  </si>
  <si>
    <t>pc_gasoline</t>
  </si>
  <si>
    <t>pc_LPG</t>
  </si>
  <si>
    <t>pc_distillate</t>
  </si>
  <si>
    <t>pc_nat_gas</t>
  </si>
  <si>
    <t>pc_pet_coke</t>
  </si>
  <si>
    <t>pc_waste_en</t>
  </si>
  <si>
    <t>pc_electric</t>
  </si>
  <si>
    <t>pc_Al_to_wat</t>
  </si>
  <si>
    <t>pc_Amm_to_wat</t>
  </si>
  <si>
    <t>pc_chlor_wat</t>
  </si>
  <si>
    <t>pc_DOC_to_wat</t>
  </si>
  <si>
    <t>pc_Nit_to_wat</t>
  </si>
  <si>
    <t>pc_oil_to_wat</t>
  </si>
  <si>
    <t>pc_phen_wat</t>
  </si>
  <si>
    <t>pc_P_to_wat</t>
  </si>
  <si>
    <t>pc_S_ate_wat</t>
  </si>
  <si>
    <t>pc_S_ide_wat</t>
  </si>
  <si>
    <t>pc_SS_to_wat</t>
  </si>
  <si>
    <t>pc_water_out</t>
  </si>
  <si>
    <t>pc_Zn_to_wat</t>
  </si>
  <si>
    <t>pc_NH3_to_air</t>
  </si>
  <si>
    <t>pc_CO2_to_air</t>
  </si>
  <si>
    <t>pc_CO_to_air</t>
  </si>
  <si>
    <t>pc_HCl_to_air</t>
  </si>
  <si>
    <t>pc_Hg_to_air</t>
  </si>
  <si>
    <t>pc_CH4_to_air</t>
  </si>
  <si>
    <t>pc_NOx_to_air</t>
  </si>
  <si>
    <t>pc_PM_to_air</t>
  </si>
  <si>
    <t>pc_SO2_to_air</t>
  </si>
  <si>
    <t>pc_NMVOC_air</t>
  </si>
  <si>
    <t>pc_solidwaste</t>
  </si>
  <si>
    <t>Precast Plant Operation</t>
  </si>
  <si>
    <t>Ready Mix Plant operation</t>
  </si>
  <si>
    <t>Mix 1</t>
  </si>
  <si>
    <t>Mix 2</t>
  </si>
  <si>
    <t>Mix 3</t>
  </si>
  <si>
    <t>Mix 4</t>
  </si>
  <si>
    <t>Mix 5</t>
  </si>
  <si>
    <t>Mix 6</t>
  </si>
  <si>
    <t>Mix 7</t>
  </si>
  <si>
    <t>included in CO2</t>
  </si>
  <si>
    <t>included in VOC</t>
  </si>
  <si>
    <t>Plant Operations Emissions</t>
  </si>
  <si>
    <t>CMU Plant Operation</t>
  </si>
  <si>
    <t>converted to NMVOC</t>
  </si>
  <si>
    <t>electric</t>
  </si>
  <si>
    <t>chlor_wat</t>
  </si>
  <si>
    <t>NMVOC_air</t>
  </si>
  <si>
    <t>Zn_to_air</t>
  </si>
  <si>
    <t>solidwaste</t>
  </si>
  <si>
    <t>op_gasoline</t>
  </si>
  <si>
    <t>op_LPG</t>
  </si>
  <si>
    <t>op_distillate</t>
  </si>
  <si>
    <t>op_nat_gas</t>
  </si>
  <si>
    <t>op_electric</t>
  </si>
  <si>
    <t>op_chlor_wat</t>
  </si>
  <si>
    <t>op_cu_to_wat</t>
  </si>
  <si>
    <t>op_Fe_to_wat</t>
  </si>
  <si>
    <t>op_oil_to_wat</t>
  </si>
  <si>
    <t>op_SS_to_wat</t>
  </si>
  <si>
    <t>op_water_out</t>
  </si>
  <si>
    <t>op_NH3_to_air</t>
  </si>
  <si>
    <t>op_As_to_air</t>
  </si>
  <si>
    <t>op_Be_to_air</t>
  </si>
  <si>
    <t>op_Cd_to_air</t>
  </si>
  <si>
    <t>op_CO2_to_air</t>
  </si>
  <si>
    <t>op_CO_to_air</t>
  </si>
  <si>
    <t>op_Cr_to_air</t>
  </si>
  <si>
    <t>op_Cob_to_air</t>
  </si>
  <si>
    <t>op_Cu_to_air</t>
  </si>
  <si>
    <t>op_Form_air</t>
  </si>
  <si>
    <t>op_HCl_to_air</t>
  </si>
  <si>
    <t>op_Pb_to_air</t>
  </si>
  <si>
    <t>op_Mn_to_air</t>
  </si>
  <si>
    <t>op_Hg_to_air</t>
  </si>
  <si>
    <t>op_CH4_to_air</t>
  </si>
  <si>
    <t>op_Ni_to_air</t>
  </si>
  <si>
    <t>op_NOx_to_air</t>
  </si>
  <si>
    <t>op_PM_to_air</t>
  </si>
  <si>
    <t>op_P_to_air</t>
  </si>
  <si>
    <t>op_RN_to_air</t>
  </si>
  <si>
    <t>op_Se_to_air</t>
  </si>
  <si>
    <t>op_SOx_to_air</t>
  </si>
  <si>
    <t>op_NMVOC_air</t>
  </si>
  <si>
    <t>op_Zn_to_air</t>
  </si>
  <si>
    <t>op_solidwaste</t>
  </si>
  <si>
    <t>op_Perch_air</t>
  </si>
  <si>
    <t>flow name</t>
  </si>
  <si>
    <t>CMU, given, per 100 CMUs</t>
  </si>
  <si>
    <t>CKD goes to landfills mostly, not handled as hazardous</t>
  </si>
  <si>
    <t>http://www3.epa.gov/epawaste/nonhaz/industrial/special/ckd/</t>
  </si>
  <si>
    <t>Cement kiln dust, CKD</t>
  </si>
  <si>
    <t>Emission to land</t>
  </si>
  <si>
    <t>Volatile organic compounds, VOC</t>
  </si>
  <si>
    <r>
      <t>Sulfur dioxide, SO</t>
    </r>
    <r>
      <rPr>
        <sz val="5"/>
        <color indexed="8"/>
        <rFont val="Arial"/>
        <family val="1"/>
        <charset val="204"/>
      </rPr>
      <t>2</t>
    </r>
  </si>
  <si>
    <t>Particulates, total</t>
  </si>
  <si>
    <t>Particulates, PM-10</t>
  </si>
  <si>
    <t>Particulates, PM-2.5</t>
  </si>
  <si>
    <r>
      <t>Nitrogen oxides, NO</t>
    </r>
    <r>
      <rPr>
        <sz val="5"/>
        <color indexed="8"/>
        <rFont val="Arial"/>
        <family val="1"/>
        <charset val="204"/>
      </rPr>
      <t>X</t>
    </r>
  </si>
  <si>
    <r>
      <t>Methane, CH</t>
    </r>
    <r>
      <rPr>
        <sz val="5"/>
        <color indexed="8"/>
        <rFont val="Arial"/>
        <family val="1"/>
        <charset val="204"/>
      </rPr>
      <t>4</t>
    </r>
  </si>
  <si>
    <t>Mercury, Hg</t>
  </si>
  <si>
    <t>Hydrogen chlorine, HCl</t>
  </si>
  <si>
    <t>emission considered negligible</t>
  </si>
  <si>
    <t>Dioxins and furans, TEQ 2,3,7,8-TCDD</t>
  </si>
  <si>
    <t>Carbon monoxide, CO</t>
  </si>
  <si>
    <r>
      <t>Carbon dioxide, CO</t>
    </r>
    <r>
      <rPr>
        <sz val="5"/>
        <color indexed="8"/>
        <rFont val="Arial"/>
        <family val="1"/>
        <charset val="204"/>
      </rPr>
      <t>2</t>
    </r>
    <r>
      <rPr>
        <sz val="8"/>
        <color indexed="8"/>
        <rFont val="Arial"/>
        <family val="1"/>
        <charset val="204"/>
      </rPr>
      <t>, combustion</t>
    </r>
  </si>
  <si>
    <r>
      <t>Carbon dioxide, CO</t>
    </r>
    <r>
      <rPr>
        <sz val="5"/>
        <color indexed="8"/>
        <rFont val="Arial"/>
        <family val="1"/>
        <charset val="204"/>
      </rPr>
      <t>2</t>
    </r>
    <r>
      <rPr>
        <sz val="8"/>
        <color indexed="8"/>
        <rFont val="Arial"/>
        <family val="1"/>
        <charset val="204"/>
      </rPr>
      <t>, calcination</t>
    </r>
  </si>
  <si>
    <r>
      <t>Carbon dioxide, CO</t>
    </r>
    <r>
      <rPr>
        <sz val="5"/>
        <color indexed="8"/>
        <rFont val="Arial"/>
        <family val="1"/>
        <charset val="204"/>
      </rPr>
      <t>2</t>
    </r>
  </si>
  <si>
    <r>
      <t>Ammonia, NH</t>
    </r>
    <r>
      <rPr>
        <sz val="5"/>
        <color indexed="8"/>
        <rFont val="Arial"/>
        <family val="1"/>
        <charset val="204"/>
      </rPr>
      <t>3</t>
    </r>
  </si>
  <si>
    <t>Zinc</t>
  </si>
  <si>
    <t>Water (that leaves site) (L)</t>
  </si>
  <si>
    <t>Suspended solids</t>
  </si>
  <si>
    <t>Sulfides</t>
  </si>
  <si>
    <t>Sulfates</t>
  </si>
  <si>
    <t>Phosphorus</t>
  </si>
  <si>
    <t>Phenolics</t>
  </si>
  <si>
    <t>pH</t>
  </si>
  <si>
    <t>Oil and grease</t>
  </si>
  <si>
    <t>Nitric, nitrites</t>
  </si>
  <si>
    <t>Dissolved organic compounds</t>
  </si>
  <si>
    <t>Chlorides</t>
  </si>
  <si>
    <t>Ammonia, ammonium</t>
  </si>
  <si>
    <t>Aluminum</t>
  </si>
  <si>
    <t>Electricity (kWh)</t>
  </si>
  <si>
    <t>Wastes (GJ)</t>
  </si>
  <si>
    <t>Residual oil (L)</t>
  </si>
  <si>
    <t>Petroleum coke (metric ton)</t>
  </si>
  <si>
    <r>
      <t>Natural gas (thousand m</t>
    </r>
    <r>
      <rPr>
        <sz val="5"/>
        <color indexed="8"/>
        <rFont val="Arial"/>
        <family val="1"/>
        <charset val="204"/>
      </rPr>
      <t>3</t>
    </r>
    <r>
      <rPr>
        <sz val="8"/>
        <color indexed="8"/>
        <rFont val="Arial"/>
        <family val="1"/>
        <charset val="204"/>
      </rPr>
      <t>)</t>
    </r>
  </si>
  <si>
    <t>Middle distillates (L)</t>
  </si>
  <si>
    <t>Liquefied petroleum gas (L)</t>
  </si>
  <si>
    <t>Gasoline (L)</t>
  </si>
  <si>
    <t>Coal (metric ton)</t>
  </si>
  <si>
    <t>Chains</t>
  </si>
  <si>
    <t>Cement bags</t>
  </si>
  <si>
    <t>24% of plants), other solid wastes (in 22% of plants), and other wastes (in 12% of plants)</t>
  </si>
  <si>
    <t>Oil &amp; grease</t>
  </si>
  <si>
    <t>types used are: tire-derived wastes (in 69% of plants), waste oil (in 16% of plants), solvents (in</t>
  </si>
  <si>
    <t>Filter bags</t>
  </si>
  <si>
    <t>Of those using waste fuel, the</t>
  </si>
  <si>
    <t>Grinding aids</t>
  </si>
  <si>
    <t>http://www.nrmca.org/taskforce/item_2_talkingpoints/sustainability/sustainability/sn2095b%20-%20cement%20lci%202006.pdf</t>
  </si>
  <si>
    <t>Grinding media</t>
  </si>
  <si>
    <t>Refractory</t>
  </si>
  <si>
    <t>Explosives</t>
  </si>
  <si>
    <t>Ancillary material</t>
  </si>
  <si>
    <t>Water, non-process</t>
  </si>
  <si>
    <t>Water, process</t>
  </si>
  <si>
    <t>Gypsum, anhydrite</t>
  </si>
  <si>
    <t>Other raw material</t>
  </si>
  <si>
    <t>Slate</t>
  </si>
  <si>
    <t>Blast furnace slag</t>
  </si>
  <si>
    <t>Iron, iron ore</t>
  </si>
  <si>
    <t>Sand</t>
  </si>
  <si>
    <t>Foundry sand</t>
  </si>
  <si>
    <t>Fly ash</t>
  </si>
  <si>
    <t>Bottom ash</t>
  </si>
  <si>
    <t>Clay</t>
  </si>
  <si>
    <t>Shale</t>
  </si>
  <si>
    <t>assume cement rock is similar enough to Limestone</t>
  </si>
  <si>
    <t>Cement rock, marl</t>
  </si>
  <si>
    <t>Limestone</t>
  </si>
  <si>
    <t>Average CMU/Ready Mix</t>
  </si>
  <si>
    <t>Raw material</t>
  </si>
  <si>
    <t>Total PC per mix (kg/m3 concrete)</t>
  </si>
  <si>
    <t>pre-cast 3</t>
  </si>
  <si>
    <t>pre-cast 2</t>
  </si>
  <si>
    <t>pre-cast 1</t>
  </si>
  <si>
    <t>ready mix 7</t>
  </si>
  <si>
    <t>ready mix 6</t>
  </si>
  <si>
    <t>ready mix 5</t>
  </si>
  <si>
    <t>ready mix 4</t>
  </si>
  <si>
    <t>ready mix 3</t>
  </si>
  <si>
    <t>ready mix 2</t>
  </si>
  <si>
    <t>ready mix 1</t>
  </si>
  <si>
    <t>given, kg/m3concrete</t>
  </si>
  <si>
    <t>Precast 1</t>
  </si>
  <si>
    <t>Precast 2</t>
  </si>
  <si>
    <t>Precast 3</t>
  </si>
  <si>
    <t>Natural</t>
  </si>
  <si>
    <t>Manuf.</t>
  </si>
  <si>
    <t>Coarse aggregate, natural</t>
  </si>
  <si>
    <t>...</t>
  </si>
  <si>
    <t>Coarse aggregate, manufactured</t>
  </si>
  <si>
    <t>Fine aggregate, natural</t>
  </si>
  <si>
    <t>Copper</t>
  </si>
  <si>
    <t>Iron</t>
  </si>
  <si>
    <t>1,3 Butadiene</t>
  </si>
  <si>
    <t>Acetaldehyde</t>
  </si>
  <si>
    <t>Acrolein</t>
  </si>
  <si>
    <t>Arsenic</t>
  </si>
  <si>
    <t>Benzene</t>
  </si>
  <si>
    <t>Beryllium</t>
  </si>
  <si>
    <t>Cadmium</t>
  </si>
  <si>
    <t>Chromium</t>
  </si>
  <si>
    <t>Cobalt</t>
  </si>
  <si>
    <t>Ethylbenzene</t>
  </si>
  <si>
    <t>Formaldehyde</t>
  </si>
  <si>
    <t>Lead</t>
  </si>
  <si>
    <t>Manganese</t>
  </si>
  <si>
    <t>Methylene chloride</t>
  </si>
  <si>
    <t>Naphthalene</t>
  </si>
  <si>
    <t>Nickel</t>
  </si>
  <si>
    <t>Nitric oxide, NO (unspecified)</t>
  </si>
  <si>
    <t>Polycyclic aromatic hydrocarbons, PAH</t>
  </si>
  <si>
    <t>Perchloroethylene</t>
  </si>
  <si>
    <t>Phenolic compounds</t>
  </si>
  <si>
    <t>Propylene oxide</t>
  </si>
  <si>
    <t>Radionuclides (kBq)</t>
  </si>
  <si>
    <t>Selenium</t>
  </si>
  <si>
    <r>
      <t>Sulfur oxides, SO</t>
    </r>
    <r>
      <rPr>
        <sz val="5"/>
        <color indexed="8"/>
        <rFont val="Arial"/>
        <family val="1"/>
        <charset val="204"/>
      </rPr>
      <t>X</t>
    </r>
  </si>
  <si>
    <t>Toluene</t>
  </si>
  <si>
    <t>Xylenes</t>
  </si>
  <si>
    <t>Other solid waste</t>
  </si>
  <si>
    <r>
      <rPr>
        <sz val="8"/>
        <rFont val="Arial"/>
        <family val="2"/>
      </rPr>
      <t>...</t>
    </r>
  </si>
  <si>
    <t>ag_res_oil</t>
  </si>
  <si>
    <t>ag_xyl_to_air</t>
  </si>
  <si>
    <t>ag_tol_to_air</t>
  </si>
  <si>
    <t>ag_pah_to_air</t>
  </si>
  <si>
    <t>ag_ebenz_air</t>
  </si>
  <si>
    <t>ag_acetal_air</t>
  </si>
  <si>
    <t>considered negligable</t>
  </si>
  <si>
    <t>ag_acrol_air</t>
  </si>
  <si>
    <t>percent natural</t>
  </si>
  <si>
    <t>ag_pct_nat</t>
  </si>
  <si>
    <t>perecent manufactured</t>
  </si>
  <si>
    <t>ag_pct_man</t>
  </si>
  <si>
    <t>ag_gasoline</t>
  </si>
  <si>
    <t>ag_distillate</t>
  </si>
  <si>
    <t>ag_nat_gas</t>
  </si>
  <si>
    <t>ag_electric</t>
  </si>
  <si>
    <t>ag_chlor_wat</t>
  </si>
  <si>
    <t>ag_cu_to_wat</t>
  </si>
  <si>
    <t>ag_Fe_to_wat</t>
  </si>
  <si>
    <t>ag_oil_to_wat</t>
  </si>
  <si>
    <t>ag_SS_to_wat</t>
  </si>
  <si>
    <t>ag_As_to_air</t>
  </si>
  <si>
    <t>ag_Be_to_air</t>
  </si>
  <si>
    <t>ag_Cd_to_air</t>
  </si>
  <si>
    <t>ag_CO2_to_air</t>
  </si>
  <si>
    <t>ag_CO_to_air</t>
  </si>
  <si>
    <t>ag_Cr_to_air</t>
  </si>
  <si>
    <t>ag_Cob_to_air</t>
  </si>
  <si>
    <t>ag_Form_air</t>
  </si>
  <si>
    <t>ag_HCl_to_air</t>
  </si>
  <si>
    <t>ag_Pb_to_air</t>
  </si>
  <si>
    <t>ag_Mn_to_air</t>
  </si>
  <si>
    <t>ag_Hg_to_air</t>
  </si>
  <si>
    <t>ag_CH4_to_air</t>
  </si>
  <si>
    <t>ag_Ni_to_air</t>
  </si>
  <si>
    <t>ag_NOx_to_air</t>
  </si>
  <si>
    <t>ag_PM_to_air</t>
  </si>
  <si>
    <t>ag_Perch_air</t>
  </si>
  <si>
    <t>ag_RN_to_air</t>
  </si>
  <si>
    <t>ag_Se_to_air</t>
  </si>
  <si>
    <t>ag_SOx_to_air</t>
  </si>
  <si>
    <t>ag_NMVOC_air</t>
  </si>
  <si>
    <t>ag_solidwaste</t>
  </si>
  <si>
    <t>CMU Mix</t>
  </si>
  <si>
    <t>CMUs</t>
  </si>
  <si>
    <t>precast 1</t>
  </si>
  <si>
    <t>precast 2</t>
  </si>
  <si>
    <t>precast 3</t>
  </si>
  <si>
    <t>tr_gasoline</t>
  </si>
  <si>
    <t>tr_distillate</t>
  </si>
  <si>
    <t>tr_res_oil</t>
  </si>
  <si>
    <t>tr_CO2_to_air</t>
  </si>
  <si>
    <t>tr_CO_to_air</t>
  </si>
  <si>
    <t>tr_CH4_to_air</t>
  </si>
  <si>
    <t>tr_NOx_to_air</t>
  </si>
  <si>
    <t>tr_SOx_to_air</t>
  </si>
  <si>
    <t>tr_NMVOC_air</t>
  </si>
  <si>
    <t>Create Your Own</t>
  </si>
  <si>
    <t>Concrete type</t>
  </si>
  <si>
    <t>mass per 100 pcs</t>
  </si>
  <si>
    <t>ad_DB</t>
  </si>
  <si>
    <t>ad_CO2_to_air</t>
  </si>
  <si>
    <t>ag_prop_air</t>
  </si>
  <si>
    <t>ad_CFC_to_air</t>
  </si>
  <si>
    <t>ad_PO4_to_wat</t>
  </si>
  <si>
    <t>ad_SO2_to_wat</t>
  </si>
  <si>
    <t>ad_C2H4_air</t>
  </si>
  <si>
    <t>CFC_to_air</t>
  </si>
  <si>
    <t>DB</t>
  </si>
  <si>
    <t>C2H4_air</t>
  </si>
  <si>
    <t>SO2_to_wat</t>
  </si>
  <si>
    <t>PO4_to_wat</t>
  </si>
  <si>
    <t>limestone</t>
  </si>
  <si>
    <t>shale</t>
  </si>
  <si>
    <t>clay</t>
  </si>
  <si>
    <t>fndry_sand</t>
  </si>
  <si>
    <t>sand</t>
  </si>
  <si>
    <t>iron_in</t>
  </si>
  <si>
    <t>slate</t>
  </si>
  <si>
    <t>gypsum</t>
  </si>
  <si>
    <t>coal</t>
  </si>
  <si>
    <t>pet_coke</t>
  </si>
  <si>
    <t>waste_en</t>
  </si>
  <si>
    <t>Al_to_wat</t>
  </si>
  <si>
    <t>Amm_to_wat</t>
  </si>
  <si>
    <t>DOC_to_wat</t>
  </si>
  <si>
    <t>Nit_to_wat</t>
  </si>
  <si>
    <t>phen_wat</t>
  </si>
  <si>
    <t>P_to_wat</t>
  </si>
  <si>
    <t>S_ate_wat</t>
  </si>
  <si>
    <t>S_ide_wat</t>
  </si>
  <si>
    <t>Zn_to_wat</t>
  </si>
  <si>
    <t>SO2_to_air</t>
  </si>
  <si>
    <t>Perch_air</t>
  </si>
  <si>
    <t>res_oil</t>
  </si>
  <si>
    <t>op_water_in</t>
  </si>
  <si>
    <t>[kg/m3] portland cement in concrete mix</t>
  </si>
  <si>
    <t>[kg/m3] silica fume in concrete mix</t>
  </si>
  <si>
    <t>[kg/m3] fly ash in concrete mix</t>
  </si>
  <si>
    <t>[kg/m3] blast furnace slag in concrete mix</t>
  </si>
  <si>
    <t>[kg/m3] water cement in concrete mix</t>
  </si>
  <si>
    <t>[kg/m3] coarse aggregate in concrete mix</t>
  </si>
  <si>
    <t>[kg/m3] fine aggregate in concrete mix</t>
  </si>
  <si>
    <t>[kg/m3] admixtures in concrete mix</t>
  </si>
  <si>
    <t>pc_res_oil</t>
  </si>
  <si>
    <t>fly ash</t>
  </si>
  <si>
    <t>admixtures</t>
  </si>
  <si>
    <t>foundary sand</t>
  </si>
  <si>
    <t>iron</t>
  </si>
  <si>
    <t>mx_PC</t>
  </si>
  <si>
    <t>mx_fume</t>
  </si>
  <si>
    <t>mx_fa</t>
  </si>
  <si>
    <t>mx_slag</t>
  </si>
  <si>
    <t>mx_water_in</t>
  </si>
  <si>
    <t>mx_fine_ag</t>
  </si>
  <si>
    <t>mx_coarse_ag</t>
  </si>
  <si>
    <t>mx_admixture</t>
  </si>
  <si>
    <t>pc_fa</t>
  </si>
  <si>
    <t>water input</t>
  </si>
  <si>
    <t>petroleum coke</t>
  </si>
  <si>
    <t>residual oil</t>
  </si>
  <si>
    <t>waste energy</t>
  </si>
  <si>
    <t>water output</t>
  </si>
  <si>
    <t>solid waste</t>
  </si>
  <si>
    <t>Nitrogen oxides [Inorganic emissions to air]</t>
  </si>
  <si>
    <t>Sulphur dioxide [Inorganic emissions to air]</t>
  </si>
  <si>
    <t>Ammonium / ammonia [Inorganic emissions to fresh water]</t>
  </si>
  <si>
    <t>Phosphorus [Inorganic emissions to fresh water]</t>
  </si>
  <si>
    <t>Nitrite [Inorganic emissions to fresh water]</t>
  </si>
  <si>
    <t>Sulphate [Inorganic emissions to fresh water]</t>
  </si>
  <si>
    <t>Sulphide [Inorganic emissions to fresh water]</t>
  </si>
  <si>
    <t>Phenol [unspecified]</t>
  </si>
  <si>
    <t>Zinc [Heavy metals to fresh water]</t>
  </si>
  <si>
    <t>Cobalt [Heavy metals to air]</t>
  </si>
  <si>
    <t>United States</t>
  </si>
  <si>
    <t>1,1,3,1,1</t>
  </si>
  <si>
    <t>4,3,2,4,1</t>
  </si>
  <si>
    <t>1,2</t>
  </si>
  <si>
    <t>Concrete Mix</t>
  </si>
  <si>
    <t>Summary of primary inputs to concrete per concrete mix type</t>
  </si>
  <si>
    <t>Plant Operations</t>
  </si>
  <si>
    <t>Input and output flows for operating concrete plant</t>
  </si>
  <si>
    <t>Aggregate</t>
  </si>
  <si>
    <t>Upstream data for aggregate mixes</t>
  </si>
  <si>
    <t>Admixture</t>
  </si>
  <si>
    <t>Transport</t>
  </si>
  <si>
    <t>Upstream data for concrete admixtures</t>
  </si>
  <si>
    <t>Transport emissions associated with concrete</t>
  </si>
  <si>
    <t>Abbreviations used throughout this DS: fly as (FA)</t>
  </si>
  <si>
    <t>portland cement (PC)</t>
  </si>
  <si>
    <t>concrete masonry unit (CMU)</t>
  </si>
  <si>
    <t>No</t>
  </si>
  <si>
    <t>concrete_production</t>
  </si>
  <si>
    <r>
      <t>Note: All inputs and outputs are normalized per the reference flow (e.g., per m3</t>
    </r>
    <r>
      <rPr>
        <b/>
        <sz val="10"/>
        <color indexed="8"/>
        <rFont val="Arial"/>
        <family val="2"/>
      </rPr>
      <t xml:space="preserve"> </t>
    </r>
    <r>
      <rPr>
        <sz val="10"/>
        <color indexed="8"/>
        <rFont val="Arial"/>
        <family val="2"/>
      </rPr>
      <t xml:space="preserve">of </t>
    </r>
    <r>
      <rPr>
        <b/>
        <sz val="10"/>
        <color indexed="8"/>
        <rFont val="Arial"/>
        <family val="2"/>
      </rPr>
      <t>concrete</t>
    </r>
    <r>
      <rPr>
        <sz val="10"/>
        <color indexed="8"/>
        <rFont val="Arial"/>
        <family val="2"/>
      </rPr>
      <t>)</t>
    </r>
  </si>
  <si>
    <t>Emissions to water</t>
  </si>
  <si>
    <t>R 11 (trichlorofluoromethane) [Halogenated organic emissions to air]</t>
  </si>
  <si>
    <t>Create your own</t>
  </si>
  <si>
    <t>CMU, given, per 131 CMUs (or 1 m3)</t>
  </si>
  <si>
    <t>Unit Weight (kg/m3 concrete)</t>
  </si>
  <si>
    <t>Given, unit/m3 concrete (unit = kg unless otherwise specified)</t>
  </si>
  <si>
    <t>Converted to unit/kg aggregate  (unit = kg unless otherwise specified)</t>
  </si>
  <si>
    <t>ag_mass_nat</t>
  </si>
  <si>
    <t>ag_mass_man</t>
  </si>
  <si>
    <t>[kg/kg] carbon dioxide emission to air due to upstream admixture production</t>
  </si>
  <si>
    <t>[kg/kg] chlorofluorocarbons emissions to air due to upstream admixture production</t>
  </si>
  <si>
    <t>[kg/kg] 1,4-dichlorobenzene emissions due to upstream admixture production</t>
  </si>
  <si>
    <t>[kg/kg] Ethene (ethylene) emissions to air due to upstream admixture production</t>
  </si>
  <si>
    <t>[kg/kg] sulphur dioxide emissions to water due to upstream admixture production</t>
  </si>
  <si>
    <t>[kg/kg] phosphate emissions to water due to upstream admixture production</t>
  </si>
  <si>
    <t>[kg/kg] aluminum emissions to water due to upstream portland cement production</t>
  </si>
  <si>
    <t>[kg/kg] ammonia/ammonium emissions to water due to upstream portland cement production</t>
  </si>
  <si>
    <t>[kg/kg] chloride emission to water due to upstream portland cement production</t>
  </si>
  <si>
    <t>[kg/kg] disolved organic carbon emissions to water due to upstream portland cement production</t>
  </si>
  <si>
    <t>[kg/kg] nitrate emissions to water due to upstream portland cement production</t>
  </si>
  <si>
    <t>[kg/kg] oil and grease emission to water due to upstream portland cement production</t>
  </si>
  <si>
    <t>[kg/kg] phenolics emissions to water due to upstream portland cement production</t>
  </si>
  <si>
    <t>[kg/kg] phosphorous emissions to water due to upstream portland cement production</t>
  </si>
  <si>
    <t>[kg/kg] sulphate emissions to water due to upstream portland cement production</t>
  </si>
  <si>
    <t>[kg/kg] sulphite emissions to water due to upstream portland cement production</t>
  </si>
  <si>
    <t>[kg/kg] suspended solids emission to water due to upstream portland cement production</t>
  </si>
  <si>
    <t>[kg/kg] water released from plant due to upstream portland cement production</t>
  </si>
  <si>
    <t>[kg/kg] zinc emissions to water due to upstream portland cement production</t>
  </si>
  <si>
    <t>[kg/kg] ammonia emission to air due to upstream portland cement production</t>
  </si>
  <si>
    <t>[kg/kg] carbon dioxide emission to air due to upstream portland cement production</t>
  </si>
  <si>
    <t>[kg/kg] carbon monoxide emission to air due to upstream portland cement production</t>
  </si>
  <si>
    <t>[kg/kg] hydrochloric acid emission to air due to upstream portland cement production</t>
  </si>
  <si>
    <t>[kg/kg] mercury emission to air due to upstream portland cement production</t>
  </si>
  <si>
    <t>[kg/kg] methane emission to air due to upstream portland cement production</t>
  </si>
  <si>
    <t>[kg/kg] nitrous oxides emission to air due to upstream portland cement production</t>
  </si>
  <si>
    <t>[kg/kg] particulate matter emission to air due to upstream portland cement production</t>
  </si>
  <si>
    <t>[kg/kg] sulphur dioxide emissions to air due to upstream portland cement production</t>
  </si>
  <si>
    <t>[kg/kg] non-methane volatile organic carbon emission to air due to upstream portland cement production</t>
  </si>
  <si>
    <t>[kg/kg] solid waste to landfill due to upstream portland cement production</t>
  </si>
  <si>
    <t>[kg/kg] chloride emission to water due to concrete plant operation</t>
  </si>
  <si>
    <t>[kg/kg] copper emission to water due to concrete plant operation</t>
  </si>
  <si>
    <t>[kg/kg] iron emission to water due to concrete plant operation</t>
  </si>
  <si>
    <t>[kg/kg] oil and grease emission to water due to concrete plant operation</t>
  </si>
  <si>
    <t>[kg/kg] suspended solids emission to water due to concrete plant operation</t>
  </si>
  <si>
    <t>[kg/kg] water released from plant due to concrete plant operation</t>
  </si>
  <si>
    <t>[kg/kg] ammonia emission to air due to concrete plant operation</t>
  </si>
  <si>
    <t>[kg/kg] arsenic emission to air due to concrete plant operation</t>
  </si>
  <si>
    <t>[kg/kg] beryllium emission to air due to concrete plant operation</t>
  </si>
  <si>
    <t>[kg/kg] cadmium emission to air due to concrete plant operation</t>
  </si>
  <si>
    <t>[kg/kg] carbon dioxide emission to air due to concrete plant operation</t>
  </si>
  <si>
    <t>[kg/kg] carbon monoxide emission to air due to concrete plant operation</t>
  </si>
  <si>
    <t>[kg/kg] chromium emission to air due to concrete plant operation</t>
  </si>
  <si>
    <t>[kg/kg] cobalt dioxide emission to air due to concrete plant operation</t>
  </si>
  <si>
    <t>[kg/kg] copper emission to air due to concrete plant operation</t>
  </si>
  <si>
    <t>[kg/kg] hydrochloric acid emission to air due to concrete plant operation</t>
  </si>
  <si>
    <t>[kg/kg] lead emission to air due to concrete plant operation</t>
  </si>
  <si>
    <t>[kg/kg] manganese emission to air due to concrete plant operation</t>
  </si>
  <si>
    <t>[kg/kg] mercury emission to air due to concrete plant operation</t>
  </si>
  <si>
    <t>[kg/kg] methane emission to air due to concrete plant operation</t>
  </si>
  <si>
    <t>[kg/kg] nickel emission to air due to concrete plant operation</t>
  </si>
  <si>
    <t>[kg/kg] nitrous oxides emission to air due to concrete plant operation</t>
  </si>
  <si>
    <t>[kg/kg] particulate matter emission to air due to concrete plant operation</t>
  </si>
  <si>
    <t>[kg/kg] perchloroethylene emission to air due to concrete plant operation</t>
  </si>
  <si>
    <t>[kg/kg] phosphorous emission to air due to concrete plant operation</t>
  </si>
  <si>
    <t>[kg/kg] selenium emission to air due to concrete plant operation</t>
  </si>
  <si>
    <t>[kg/kg] sulphur oxides emission to air due to concrete plant operation</t>
  </si>
  <si>
    <t>[kg/kg] non-methane volatile organic carbon emission to air due to concrete plant operation</t>
  </si>
  <si>
    <t>[kg/kg] zinc emission to air due to concrete plant operation</t>
  </si>
  <si>
    <t>[kg/kg] solid waste to landfill due to concrete plant operation</t>
  </si>
  <si>
    <t>[kg/kg] chloride emission to water due to upstream aggregate production</t>
  </si>
  <si>
    <t>[kg/kg] copper emission to water due to upstream aggregate production</t>
  </si>
  <si>
    <t>[kg/kg] iron emission to water due to upstream aggregate production</t>
  </si>
  <si>
    <t>[kg/kg] oil and grease emission to water due to upstream aggregate production</t>
  </si>
  <si>
    <t>[kg/kg] suspended solids emission to water due to upstream aggregate production</t>
  </si>
  <si>
    <t>[kg/kg] arsenic emission to air due to upstream aggregate production</t>
  </si>
  <si>
    <t>[kg/kg] beryllium emission to air due to upstream aggregate production</t>
  </si>
  <si>
    <t>[kg/kg] cadmium emission to air due to upstream aggregate production</t>
  </si>
  <si>
    <t>[kg/kg] carbon dioxide emission to air due to upstream aggregate production</t>
  </si>
  <si>
    <t>[kg/kg] carbon monoxide emission to air due to upstream aggregate production</t>
  </si>
  <si>
    <t>[kg/kg] chromium emission to air due to upstream aggregate production</t>
  </si>
  <si>
    <t>[kg/kg] cobalt dioxide emission to air due to upstream aggregate production</t>
  </si>
  <si>
    <t>[kg/kg] hydrochloric acid emission to air due to upstream aggregate production</t>
  </si>
  <si>
    <t>[kg/kg] lead emission to air due to upstream aggregate production</t>
  </si>
  <si>
    <t>[kg/kg] manganese emission to air due to upstream aggregate production</t>
  </si>
  <si>
    <t>[kg/kg] mercury emission to air due to upstream aggregate production</t>
  </si>
  <si>
    <t>[kg/kg] methane emission to air due to upstream aggregate production</t>
  </si>
  <si>
    <t>[kg/kg] nickel emission to air due to upstream aggregate production</t>
  </si>
  <si>
    <t>[kg/kg] nitrous oxides emission to air due to upstream aggregate production</t>
  </si>
  <si>
    <t>[kg/kg] particulate matter emission to air due to upstream aggregate production</t>
  </si>
  <si>
    <t>[kg/kg] perchloroethylene emission to air due to upstream aggregate production</t>
  </si>
  <si>
    <t>[kg/kg] selenium emission to air due to upstream aggregate production</t>
  </si>
  <si>
    <t>[kg/kg] sulphur oxides emission to air due to upstream aggregate production</t>
  </si>
  <si>
    <t>[kg/kg] non-methane volatile organic carbon emission to air due to upstream aggregate production</t>
  </si>
  <si>
    <t>[kg/kg] solid waste to landfill due to upstream aggregate production</t>
  </si>
  <si>
    <t>[kg/kg] carbon dioxide emission to air due to transport</t>
  </si>
  <si>
    <t>[kg/kg] carbon monoxide emission to air due to transport</t>
  </si>
  <si>
    <t>[kg/kg] methane emission to air due to transport</t>
  </si>
  <si>
    <t>[kg/kg] nitrous oxides emission to air due to transport</t>
  </si>
  <si>
    <t>[kg/kg] sulphur oxides emission to air due to transport</t>
  </si>
  <si>
    <t>[kg/kg] non-methane volatile organic carbon emission to air due to transport</t>
  </si>
  <si>
    <t>[kg/kg] carbon dioxide emission to air total</t>
  </si>
  <si>
    <t>[kg/kg] chlorofluorocarbons emissions to air total</t>
  </si>
  <si>
    <t>[kg/kg] 1,4-dichlorobenzene emissions total</t>
  </si>
  <si>
    <t>[kg/kg] Ethene (ethylene) emissions to air total</t>
  </si>
  <si>
    <t>[kg/kg] sulphur dioxide emissions to water total</t>
  </si>
  <si>
    <t>[kg/kg] phosphate emissions to water total</t>
  </si>
  <si>
    <t>[kg/kg] aluminum emissions to water total</t>
  </si>
  <si>
    <t>[kg/kg] ammonia/ammonium emissions to water total</t>
  </si>
  <si>
    <t>[kg/kg] chloride emission to water total</t>
  </si>
  <si>
    <t>[kg/kg] disolved organic carbon emissions to water total</t>
  </si>
  <si>
    <t>[kg/kg] nitrate emissions to water total</t>
  </si>
  <si>
    <t>[kg/kg] oil and grease emission to water total</t>
  </si>
  <si>
    <t>[kg/kg] phenolics emissions to water total</t>
  </si>
  <si>
    <t>[kg/kg] phosphorous emissions to water total</t>
  </si>
  <si>
    <t>[kg/kg] sulphate emissions to water total</t>
  </si>
  <si>
    <t>[kg/kg] sulphite emissions to water total</t>
  </si>
  <si>
    <t>[kg/kg] suspended solids emission to water total</t>
  </si>
  <si>
    <t>[kg/kg] water released from plant total</t>
  </si>
  <si>
    <t>[kg/kg] zinc emissions to water total</t>
  </si>
  <si>
    <t>[kg/kg] ammonia emission to air total</t>
  </si>
  <si>
    <t>[kg/kg] carbon monoxide emission to air total</t>
  </si>
  <si>
    <t>[kg/kg] hydrochloric acid emission to air total</t>
  </si>
  <si>
    <t>[kg/kg] mercury emission to air total</t>
  </si>
  <si>
    <t>[kg/kg] methane emission to air total</t>
  </si>
  <si>
    <t>[kg/kg] nitrous oxides emission to air total</t>
  </si>
  <si>
    <t>[kg/kg] particulate matter emission to air total</t>
  </si>
  <si>
    <t>[kg/kg] sulphur dioxide emissions to air total</t>
  </si>
  <si>
    <t>[kg/kg] non-methane volatile organic carbon emission to air total</t>
  </si>
  <si>
    <t>[kg/kg] solid waste to landfill total</t>
  </si>
  <si>
    <t>[kg/kg] copper emission to water total</t>
  </si>
  <si>
    <t>[kg/kg] iron emission to water total</t>
  </si>
  <si>
    <t>[kg/kg] arsenic emission to air total</t>
  </si>
  <si>
    <t>[kg/kg] beryllium emission to air total</t>
  </si>
  <si>
    <t>[kg/kg] cadmium emission to air total</t>
  </si>
  <si>
    <t>[kg/kg] chromium emission to air total</t>
  </si>
  <si>
    <t>[kg/kg] cobalt dioxide emission to air total</t>
  </si>
  <si>
    <t>[kg/kg] copper emission to air total</t>
  </si>
  <si>
    <t>[kg/kg] lead emission to air total</t>
  </si>
  <si>
    <t>[kg/kg] manganese emission to air total</t>
  </si>
  <si>
    <t>[kg/kg] nickel emission to air total</t>
  </si>
  <si>
    <t>[kg/kg] perchloroethylene emission to air total</t>
  </si>
  <si>
    <t>[kg/kg] phosphorous emission to air total</t>
  </si>
  <si>
    <t>[kg/kg] selenium emission to air total</t>
  </si>
  <si>
    <t>[kg/kg] sulphur oxides emission to air total</t>
  </si>
  <si>
    <t>[kg/kg] zinc emission to air total</t>
  </si>
  <si>
    <t>concrete product</t>
  </si>
  <si>
    <t>converted to unit/kg concrete</t>
  </si>
  <si>
    <t>Appendices E to G</t>
  </si>
  <si>
    <t>both coal power wastes, consider fly as to simplify</t>
  </si>
  <si>
    <t>converted, kg/m3 cement</t>
  </si>
  <si>
    <t>Raw Materials</t>
  </si>
  <si>
    <t>emissions per m3 concrete</t>
  </si>
  <si>
    <t>Inputs and outputs per 1 m3 concrete (kg unless otherwise specified)</t>
  </si>
  <si>
    <t>considered negligible</t>
  </si>
  <si>
    <t>Converted to unit/kg concrete</t>
  </si>
  <si>
    <t>kg/m3 concrete</t>
  </si>
  <si>
    <t>[kg/kg] mass of natural aggregate required to produce 1 kg of concrete</t>
  </si>
  <si>
    <t>[kg/kg] mass of manufactured aggregate required to produce 1 kg of concrete</t>
  </si>
  <si>
    <t>[kg/kg] portland cement in concrete mix</t>
  </si>
  <si>
    <t>[kg/kg] silica fume in concrete mix</t>
  </si>
  <si>
    <t>[kg/kg] fly ash in concrete mix</t>
  </si>
  <si>
    <t>[kg/kg] blast furnace slag in concrete mix</t>
  </si>
  <si>
    <t>[kg/kg] water cement in concrete mix</t>
  </si>
  <si>
    <t>[kg/kg] coarse aggregate in concrete mix</t>
  </si>
  <si>
    <t>[kg/kg] fine aggregate in concrete mix</t>
  </si>
  <si>
    <t>[kg/kg] admixtures in concrete mix</t>
  </si>
  <si>
    <t>[kg/kg] shale required for 1 kg of concrete due to upstream portland cement production</t>
  </si>
  <si>
    <t>[kg/kg] clay input required for 1 kg of concrete due to upstream portland cement production</t>
  </si>
  <si>
    <t>[kg/kg] fly ash and blast furnace slag required for 1 kg of concrete due to upstream portland cement production</t>
  </si>
  <si>
    <t>[kg/kg] foundry sand input required for 1 kg of concrete due to upstream portland cement production</t>
  </si>
  <si>
    <t>[kg/kg] sand input required for 1 kg of concrete due to upstream portland cement production</t>
  </si>
  <si>
    <t>[kg/kg] iron input required for 1 kg of concrete due to upstream portland cement production</t>
  </si>
  <si>
    <t>[kg/kg] slag input required for 1 kg of concrete due to upstream portland cement production</t>
  </si>
  <si>
    <t>[kg/kg] slate input required for 1 kg of concrete due to upstream portland cement production</t>
  </si>
  <si>
    <t>[kg/kg] gypsum input required for 1 kg of concrete due to upstream portland cement production</t>
  </si>
  <si>
    <t>[kg/kg] water input required for 1 kg of concrete due to upstream portland cement production</t>
  </si>
  <si>
    <t>[kg/kg] coal required for 1 kg of concrete due to upstream portland cement production</t>
  </si>
  <si>
    <t>[kg/kg] mass of gasoline required for production of 1 kg concrete due to upstream portland cement production</t>
  </si>
  <si>
    <t>[kg/kg] mass of liquefied petroleum gas required for production of 1 kg  concrete due to upstream portland cement production</t>
  </si>
  <si>
    <t>[kg/kg] mass of middle distillates required for production of 1 kg  concrete due to upstream portland cement production</t>
  </si>
  <si>
    <t>[kg/kg] mass of  natural gas required for production of 1 kg  concrete due to upstream portland cement production</t>
  </si>
  <si>
    <t>[kg/kg] petroleum coke required for 1 kg of concrete due to upstream portland cement production</t>
  </si>
  <si>
    <t>[kg/kg] residual oil required for 1 kg of concrete due to upstream portland cement production</t>
  </si>
  <si>
    <t>[GJ/kg] energy from waste required for 1 kg of concrete due to upstream portland cement production</t>
  </si>
  <si>
    <t>[kWh/kg] electricity required for production of 1 kg  concrete due to upstream portland cement production</t>
  </si>
  <si>
    <t>[kg/kg] water input required for 1 kg of concrete due to concrete plant operation</t>
  </si>
  <si>
    <t>[kg/kg] mass of gasoline required for production of 1 kg concrete due to concrete plant operation</t>
  </si>
  <si>
    <t>[kg/kg] mass of liquefied petroleum gas required for production of 1 kg  concrete due to concrete plant operation</t>
  </si>
  <si>
    <t>[kg/kg] mass of middle distillates required for production of 1 kg  concrete due to concrete plant operation</t>
  </si>
  <si>
    <t>[kg/kg] mass of  natural gas required for production of 1 kg  concrete due to concrete plant operation</t>
  </si>
  <si>
    <t>[kWh/kg] electricity required for production of 1 kg  concrete due to concrete plant operation</t>
  </si>
  <si>
    <t>[kg/kg] mass of gasoline required for production of 1 kg concrete due to upstream aggregate production</t>
  </si>
  <si>
    <t>[kg/kg] mass of middle distillates required for production of 1 kg  concrete due to upstream aggregate production</t>
  </si>
  <si>
    <t>[kg/kg] mass of  natural gas required for production of 1 kg  concrete due to upstream aggregate production</t>
  </si>
  <si>
    <t>[kg/kg] residual oil required for 1 kg of concrete due to upstream aggregate production</t>
  </si>
  <si>
    <t>[kWh/kg] electricity required for production of 1 kg  concrete due to upstream aggregate production</t>
  </si>
  <si>
    <t>[kg/kg] mass of gasoline required for production of 1 kg concrete due to transport</t>
  </si>
  <si>
    <t>[kg/kg] mass of middle distillates required for production of 1 kg  concrete due to transport</t>
  </si>
  <si>
    <t>[kg/kg] residual oil required for 1 kg of concrete due to transport</t>
  </si>
  <si>
    <t>[kg/kg] shale required for 1 kg of concrete total</t>
  </si>
  <si>
    <t>[kg/kg] clay input required for 1 kg of concrete total</t>
  </si>
  <si>
    <t>[kg/kg] foundry sand input required for 1 kg of concrete total</t>
  </si>
  <si>
    <t>[kg/kg] sand input required for 1 kg of concrete total</t>
  </si>
  <si>
    <t>[kg/kg] iron input required for 1 kg of concrete total</t>
  </si>
  <si>
    <t>[kg/kg] fly ash input required for 1 kg of concrete total</t>
  </si>
  <si>
    <t>[kg/kg] slag input required for 1 kg of concrete total</t>
  </si>
  <si>
    <t>[kg/kg] slate input required for 1 kg of concrete total</t>
  </si>
  <si>
    <t>[kg/kg] gypsum input required for 1 kg of concrete total</t>
  </si>
  <si>
    <t>[kg/kg] water input required for 1 kg of concrete total</t>
  </si>
  <si>
    <t>[kg/kg] coal required for 1 kg of concrete total</t>
  </si>
  <si>
    <t>[kg/kg] mass of gasoline required for production of 1 kg concrete total</t>
  </si>
  <si>
    <t>[kg/kg] mass of liquefied petroleum gas required for production of 1 kg  concrete total</t>
  </si>
  <si>
    <t>[kg/kg] mass of middle distillates required for production of 1 kg  concrete total</t>
  </si>
  <si>
    <t>[kg/kg] mass of  natural gas required for production of 1 kg  concrete total</t>
  </si>
  <si>
    <t>[kg/kg] petroleum coke required for 1 kg of concrete total</t>
  </si>
  <si>
    <t>[kg/kg] residual oil required for 1 kg of concrete total</t>
  </si>
  <si>
    <t>[GJ/kg] energy from waste required for 1 kg of concrete total</t>
  </si>
  <si>
    <t>[kWh/kg] electricity required for production of 1 kg  concrete total</t>
  </si>
  <si>
    <t>PC</t>
  </si>
  <si>
    <t>fume</t>
  </si>
  <si>
    <t>coarse_ag</t>
  </si>
  <si>
    <t>fine_ag</t>
  </si>
  <si>
    <t>admixture</t>
  </si>
  <si>
    <t>This unit process provides a summary of relevant input and output flows associated with the production of precast concrete, ready mix concrete, or concrete masonry units. The PS tab allows the user to switch between scenarios so that the unit process can represent any of 11 preset scenarios or a concrete mix provided by the user.</t>
  </si>
  <si>
    <r>
      <t xml:space="preserve">Marceau, Medgar et al. 2007. Life Cycle Inventory of Portland Cement Concrete. </t>
    </r>
    <r>
      <rPr>
        <i/>
        <sz val="10"/>
        <rFont val="Arial"/>
        <family val="2"/>
      </rPr>
      <t>Portland Cement Association</t>
    </r>
  </si>
  <si>
    <t>Habert, G. et al. 2011. An environmental evaluation of geopolymer based concrete production: reviewing current research trends. Journal of Cleaner Production, 19 (11).</t>
  </si>
  <si>
    <t>[kg/kg] limestone input required for 1 kg of concrete total</t>
  </si>
  <si>
    <t>[kg/kg] limestone input required for 1 kg of concrete due to upstream portland cement production</t>
  </si>
  <si>
    <t>[kBq/kg] radionuclides emission to air due to concrete plant operation</t>
  </si>
  <si>
    <t>[kBq/kg] radionuclides emission to air due to upstream aggregate production</t>
  </si>
  <si>
    <t>[kBq/kg] radionuclides emission to air total</t>
  </si>
  <si>
    <t>Liquefied petroleum gas</t>
  </si>
  <si>
    <t>This unit process is composed of this document and the file, DF_Stage123_Concrete_Production_2016.01.docx, which provides additional details regarding calculations, data quality, and references as relevant.</t>
  </si>
  <si>
    <t>Processes\NETL Power\Power 2012\Saline Aquifer</t>
  </si>
  <si>
    <t>Database</t>
  </si>
  <si>
    <t>NETL Comp DB with TAR Models Loaded 07132012 - Loaded 10052012 [C:\Users\558108\Documents\GaBi\DB\Converted DBs to GaBi 5.0 Format\NETL Comp DB with TAR Models Loaded 07132012 - Loaded 10052012.GabiDB]</t>
  </si>
  <si>
    <t>Name</t>
  </si>
  <si>
    <t>u-so - Unit process, single operation</t>
  </si>
  <si>
    <t>Documentation</t>
  </si>
  <si>
    <t>Process information</t>
  </si>
  <si>
    <t>Key information</t>
  </si>
  <si>
    <t>Treatment, standards, routes</t>
  </si>
  <si>
    <t>Mix and location types</t>
  </si>
  <si>
    <t>Further quantitative specifications</t>
  </si>
  <si>
    <t>Synonyms</t>
  </si>
  <si>
    <t>Complementing processes</t>
  </si>
  <si>
    <t>Statistical classification</t>
  </si>
  <si>
    <t>General comment</t>
  </si>
  <si>
    <t>Quantitative reference</t>
  </si>
  <si>
    <t>Type of quantitative reference</t>
  </si>
  <si>
    <t>Reference flow(s)</t>
  </si>
  <si>
    <t>Functional unit, production period, or other parameter</t>
  </si>
  <si>
    <t>Time representativeness</t>
  </si>
  <si>
    <t>Reference year</t>
  </si>
  <si>
    <t>Data set valid until</t>
  </si>
  <si>
    <t>Geography</t>
  </si>
  <si>
    <t>Meridian</t>
  </si>
  <si>
    <t>Latitude</t>
  </si>
  <si>
    <t>Geographical representativeness</t>
  </si>
  <si>
    <t>Technological representativeness</t>
  </si>
  <si>
    <t>Technology description including background system</t>
  </si>
  <si>
    <t>Included data sets</t>
  </si>
  <si>
    <t>Technical purpose of product or process</t>
  </si>
  <si>
    <t>Pictogramme of technology</t>
  </si>
  <si>
    <t>No image</t>
  </si>
  <si>
    <t>Flow diagram(s) or picture(s)</t>
  </si>
  <si>
    <t>Mathematical model</t>
  </si>
  <si>
    <t>Model description</t>
  </si>
  <si>
    <t>Modelling and validation</t>
  </si>
  <si>
    <t>LCI method and allocation</t>
  </si>
  <si>
    <t>LCI method principle</t>
  </si>
  <si>
    <t>Deviation from LCI method principle/explanations</t>
  </si>
  <si>
    <t>LCI method approaches</t>
  </si>
  <si>
    <t>Deviations from LCI method approaches/explanations</t>
  </si>
  <si>
    <t>Modeling constants</t>
  </si>
  <si>
    <t>Deviation from Modeling constants / explanations</t>
  </si>
  <si>
    <t>LCA methodology report</t>
  </si>
  <si>
    <t>Data sources and handling</t>
  </si>
  <si>
    <t>Data cut-off and completeness principles</t>
  </si>
  <si>
    <t>Deviation from data cut-off and completeness principles / explanations</t>
  </si>
  <si>
    <t>Data selection and combination principles</t>
  </si>
  <si>
    <t>Deviation from data selection and combination principles / explanations</t>
  </si>
  <si>
    <t>Data treatment and extrapolations principles</t>
  </si>
  <si>
    <t>Deviation from data treatment and extrapolations principles / explanations</t>
  </si>
  <si>
    <t>Data handling report</t>
  </si>
  <si>
    <t>Data source(s) used for this data set</t>
  </si>
  <si>
    <t>Percentage supply or production covered</t>
  </si>
  <si>
    <t>Annual supply or production volume</t>
  </si>
  <si>
    <t>Sampling procedure</t>
  </si>
  <si>
    <t>Data collection period</t>
  </si>
  <si>
    <t>Uncertainty adjustments</t>
  </si>
  <si>
    <t>Use advice for data set</t>
  </si>
  <si>
    <t>Supported impact assessment methods</t>
  </si>
  <si>
    <t>Validation</t>
  </si>
  <si>
    <t>Review</t>
  </si>
  <si>
    <t>Compliance declarations</t>
  </si>
  <si>
    <t>Compliance system</t>
  </si>
  <si>
    <t>Overall compliance</t>
  </si>
  <si>
    <t>Nomenclature and hierarchy compliance</t>
  </si>
  <si>
    <t>Methodological compliance</t>
  </si>
  <si>
    <t>Review compliance</t>
  </si>
  <si>
    <t>Documentation compliance</t>
  </si>
  <si>
    <t>Administrative information</t>
  </si>
  <si>
    <t>Commissioner and goal</t>
  </si>
  <si>
    <t>Commissioner of data set</t>
  </si>
  <si>
    <t>Project</t>
  </si>
  <si>
    <t>Intended applications</t>
  </si>
  <si>
    <t>Dataset generator/modeller</t>
  </si>
  <si>
    <t>Data entry by</t>
  </si>
  <si>
    <t>Converted dataset from</t>
  </si>
  <si>
    <t>Official approval of data set by producer/operator</t>
  </si>
  <si>
    <t>Publication and ownership</t>
  </si>
  <si>
    <t>Workflow and publication status</t>
  </si>
  <si>
    <t>Working draft</t>
  </si>
  <si>
    <t>Unchanged republication of</t>
  </si>
  <si>
    <t>Registration authority</t>
  </si>
  <si>
    <t>Registration number</t>
  </si>
  <si>
    <t>Entities or persons with exclusive access to this data set</t>
  </si>
  <si>
    <t>License type</t>
  </si>
  <si>
    <t>Free of charge for all users and uses</t>
  </si>
  <si>
    <t>Access and use restrictions</t>
  </si>
  <si>
    <t>Owner of the data set</t>
  </si>
  <si>
    <t>Minimum</t>
  </si>
  <si>
    <t>Maximum</t>
  </si>
  <si>
    <t>Standard deviation</t>
  </si>
  <si>
    <t>Comment, units, defaults</t>
  </si>
  <si>
    <t>No statement</t>
  </si>
  <si>
    <t>Inputs</t>
  </si>
  <si>
    <t>Quantity</t>
  </si>
  <si>
    <t>Tracked flows</t>
  </si>
  <si>
    <t>Comment</t>
  </si>
  <si>
    <t>Outputs</t>
  </si>
  <si>
    <t>Flow costs</t>
  </si>
  <si>
    <t>Inputs/Outputs</t>
  </si>
  <si>
    <t>Price</t>
  </si>
  <si>
    <t>Overhead ratio</t>
  </si>
  <si>
    <t>Cost</t>
  </si>
  <si>
    <t>Machine costs</t>
  </si>
  <si>
    <t>Machine</t>
  </si>
  <si>
    <t>Cycle time</t>
  </si>
  <si>
    <t>Direct cost per hour</t>
  </si>
  <si>
    <t>Personnel costs</t>
  </si>
  <si>
    <t>Employees</t>
  </si>
  <si>
    <t>Hourly wage</t>
  </si>
  <si>
    <t>LCWE</t>
  </si>
  <si>
    <t>Alias/factor</t>
  </si>
  <si>
    <t>Qualified working time (QWT): Defaults</t>
  </si>
  <si>
    <t>internal</t>
  </si>
  <si>
    <t>external</t>
  </si>
  <si>
    <t>GQL A</t>
  </si>
  <si>
    <t>Working time (LCWE)</t>
  </si>
  <si>
    <t>Seconds worked</t>
  </si>
  <si>
    <t>(No statement)</t>
  </si>
  <si>
    <t>GQL B</t>
  </si>
  <si>
    <t>GQL C</t>
  </si>
  <si>
    <t>GQL D</t>
  </si>
  <si>
    <t>GQL E</t>
  </si>
  <si>
    <t>Health and Safety (HSWT): Defaults</t>
  </si>
  <si>
    <t>Lethal accidents</t>
  </si>
  <si>
    <t>Number (LCWE)</t>
  </si>
  <si>
    <t>Cases</t>
  </si>
  <si>
    <t>Serious non-lethal accidents</t>
  </si>
  <si>
    <t>Unhealthy labour conditions</t>
  </si>
  <si>
    <t>Humanity of working conditions (HWT): Defaults</t>
  </si>
  <si>
    <t>Actual women employment</t>
  </si>
  <si>
    <t>Child labour</t>
  </si>
  <si>
    <t>Discrimination in job access</t>
  </si>
  <si>
    <t>Forced labour</t>
  </si>
  <si>
    <t>Hazardous child labour</t>
  </si>
  <si>
    <t>No collective bargaining</t>
  </si>
  <si>
    <t>No right to organise</t>
  </si>
  <si>
    <t>Unequal remuneration</t>
  </si>
  <si>
    <t>This unit process provides a summary of relevant input and output flows associated with the production of precast concrete, ready mix concrete, or concrete masonry units. The PS tab allows the user to switch between scenarios so that the unit process can represent any of 11 preset scenarios or a concrete mix provided by the user. The reference flow of this unit process is: 1 kg of concrete product</t>
  </si>
  <si>
    <t>Emissions to air</t>
  </si>
  <si>
    <t>kBq</t>
  </si>
  <si>
    <t/>
  </si>
  <si>
    <t>[resource] limestone</t>
  </si>
  <si>
    <t>[resource] shale</t>
  </si>
  <si>
    <t>[resource] clay</t>
  </si>
  <si>
    <t>[resource] foundary sand</t>
  </si>
  <si>
    <t>[resource] sand</t>
  </si>
  <si>
    <t>[resource] iron</t>
  </si>
  <si>
    <t>[resource] fly ash</t>
  </si>
  <si>
    <t>[resource] slag</t>
  </si>
  <si>
    <t>[resource] slate</t>
  </si>
  <si>
    <t>[resource] gypsum</t>
  </si>
  <si>
    <t>[resource] water input</t>
  </si>
  <si>
    <t>[technosphere] coal</t>
  </si>
  <si>
    <t>[technosphere] gasoline</t>
  </si>
  <si>
    <t>[technosphere] Liquefied petroleum gas</t>
  </si>
  <si>
    <t>[technosphere] middle distillates</t>
  </si>
  <si>
    <t>[technosphere] natural gas</t>
  </si>
  <si>
    <t>[technosphere] petroleum coke</t>
  </si>
  <si>
    <t>[technosphere] residual oil</t>
  </si>
  <si>
    <t>GJ</t>
  </si>
  <si>
    <t>[resource] waste energy</t>
  </si>
  <si>
    <t>kWh</t>
  </si>
  <si>
    <t>[technosphere] electricity</t>
  </si>
  <si>
    <t>GaBi 6 Import</t>
  </si>
  <si>
    <t>Data Summary page formatted for importation into the GaBi 6</t>
  </si>
  <si>
    <t>GaBi ts</t>
  </si>
  <si>
    <t>Old Name</t>
  </si>
  <si>
    <t>R-5-0</t>
  </si>
  <si>
    <t xml:space="preserve">B-0 </t>
  </si>
  <si>
    <t>P-10-0</t>
  </si>
  <si>
    <t>P-7-0</t>
  </si>
  <si>
    <t>R-3-50</t>
  </si>
  <si>
    <t>R-3-35</t>
  </si>
  <si>
    <t>R-3-2F</t>
  </si>
  <si>
    <t>R-3-0</t>
  </si>
  <si>
    <t>Reference</t>
  </si>
  <si>
    <t>Equivalent New Name</t>
  </si>
  <si>
    <t>[1,4]</t>
  </si>
  <si>
    <t>LIFE CYCLE INVENTORY OF SLAG CEMENT CONCRETE</t>
  </si>
  <si>
    <t>Jan R. Prusinski</t>
  </si>
  <si>
    <t>Medgar L. Marceau and Martha G. VanGeem</t>
  </si>
  <si>
    <t>Presented at Eighth CANMET/ACI Eighth CANMET/ACI International Conference on Fly Ash, Silica Fume, Slag and Natural Pozzolans in Concrete</t>
  </si>
  <si>
    <t>http://www.slagcement.org/download/123321_U128801__71549/Life%20Cycle%20Inventory%20of%20Slag%20Cement%20Concrete.pdf</t>
  </si>
  <si>
    <t>Mar 25, 2016</t>
  </si>
  <si>
    <t>2004</t>
  </si>
  <si>
    <t>Conference Proceedings</t>
  </si>
  <si>
    <t>Prusinski, J. R., Marceua, M. L., &amp; VanGeem, M. G. (2004). Life Cycle Inventory of Slag Cement Concrete. Slag Cement Association  Retrieved August 28, 2012, from http://www.slagcement.org/Sustainability/pdf/Life%20Cycle%20Inventory%20of%20Slag%20Cement%20Concrete.pdf</t>
  </si>
  <si>
    <t>Old names for concrete types. See Concrete Name Translation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</si>
</sst>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0"/>
    <numFmt numFmtId="165" formatCode="0.000000"/>
    <numFmt numFmtId="166" formatCode="0.0000"/>
    <numFmt numFmtId="167" formatCode="###0.00;###0.00"/>
    <numFmt numFmtId="168" formatCode="[$-409]m/d/yy\ h:mm\ AM/PM;@"/>
  </numFmts>
  <fonts count="44" x14ac:knownFonts="1">
    <font>
      <sz val="11"/>
      <color theme="1"/>
      <name val="Calibri"/>
      <family val="2"/>
      <scheme val="minor"/>
    </font>
    <font>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8"/>
      <name val="Arial"/>
      <family val="2"/>
    </font>
    <font>
      <b/>
      <sz val="8"/>
      <name val="Arial"/>
      <family val="2"/>
    </font>
    <font>
      <b/>
      <sz val="5"/>
      <name val="Arial"/>
      <family val="2"/>
    </font>
    <font>
      <sz val="5"/>
      <name val="Arial"/>
      <family val="2"/>
    </font>
    <font>
      <b/>
      <sz val="11"/>
      <color theme="3"/>
      <name val="Calibri"/>
      <family val="2"/>
      <scheme val="minor"/>
    </font>
    <font>
      <b/>
      <sz val="11"/>
      <color theme="1"/>
      <name val="Calibri"/>
      <family val="2"/>
      <scheme val="minor"/>
    </font>
    <font>
      <b/>
      <i/>
      <sz val="11"/>
      <color theme="1"/>
      <name val="Calibri"/>
      <family val="2"/>
      <scheme val="minor"/>
    </font>
    <font>
      <b/>
      <sz val="14"/>
      <color theme="1"/>
      <name val="Calibri"/>
      <family val="2"/>
      <scheme val="minor"/>
    </font>
    <font>
      <b/>
      <sz val="10"/>
      <color theme="1"/>
      <name val="Arial"/>
      <family val="2"/>
    </font>
    <font>
      <b/>
      <i/>
      <sz val="12"/>
      <color theme="1"/>
      <name val="Arial"/>
      <family val="2"/>
    </font>
    <font>
      <b/>
      <sz val="14"/>
      <color theme="1"/>
      <name val="Arial"/>
      <family val="2"/>
    </font>
    <font>
      <b/>
      <sz val="16"/>
      <name val="Arial"/>
      <family val="2"/>
    </font>
    <font>
      <sz val="8"/>
      <color indexed="8"/>
      <name val="Arial"/>
      <family val="1"/>
      <charset val="204"/>
    </font>
    <font>
      <sz val="5"/>
      <color indexed="8"/>
      <name val="Arial"/>
      <family val="1"/>
      <charset val="204"/>
    </font>
    <font>
      <sz val="8"/>
      <color indexed="8"/>
      <name val="Arial"/>
      <family val="2"/>
    </font>
    <font>
      <b/>
      <sz val="8"/>
      <color indexed="8"/>
      <name val="Arial"/>
      <family val="1"/>
      <charset val="204"/>
    </font>
    <font>
      <sz val="11"/>
      <name val="Calibri"/>
      <family val="2"/>
      <scheme val="minor"/>
    </font>
    <font>
      <b/>
      <sz val="11"/>
      <name val="Arial"/>
      <family val="2"/>
    </font>
    <font>
      <b/>
      <sz val="8"/>
      <color indexed="8"/>
      <name val="Arial"/>
      <family val="2"/>
    </font>
    <font>
      <sz val="11"/>
      <color rgb="FF3F3F76"/>
      <name val="Calibri"/>
      <family val="2"/>
      <scheme val="minor"/>
    </font>
  </fonts>
  <fills count="1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rgb="FF99C2FF"/>
        <bgColor indexed="64"/>
      </patternFill>
    </fill>
    <fill>
      <patternFill patternType="solid">
        <fgColor rgb="FFFFCC99"/>
      </patternFill>
    </fill>
  </fills>
  <borders count="62">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7F7F7F"/>
      </left>
      <right/>
      <top/>
      <bottom/>
      <diagonal/>
    </border>
    <border>
      <left style="thin">
        <color indexed="64"/>
      </left>
      <right/>
      <top style="thin">
        <color indexed="64"/>
      </top>
      <bottom style="medium">
        <color indexed="64"/>
      </bottom>
      <diagonal/>
    </border>
    <border>
      <left style="thick">
        <color auto="1"/>
      </left>
      <right/>
      <top/>
      <bottom/>
      <diagonal/>
    </border>
    <border>
      <left style="thick">
        <color auto="1"/>
      </left>
      <right style="thin">
        <color rgb="FF7F7F7F"/>
      </right>
      <top style="thin">
        <color rgb="FF7F7F7F"/>
      </top>
      <bottom/>
      <diagonal/>
    </border>
    <border>
      <left style="thick">
        <color auto="1"/>
      </left>
      <right style="thin">
        <color rgb="FF7F7F7F"/>
      </right>
      <top/>
      <bottom style="thin">
        <color rgb="FF7F7F7F"/>
      </bottom>
      <diagonal/>
    </border>
    <border>
      <left style="thick">
        <color auto="1"/>
      </left>
      <right style="thin">
        <color rgb="FF7F7F7F"/>
      </right>
      <top style="thin">
        <color rgb="FF7F7F7F"/>
      </top>
      <bottom style="thin">
        <color rgb="FF7F7F7F"/>
      </bottom>
      <diagonal/>
    </border>
    <border>
      <left/>
      <right style="thick">
        <color auto="1"/>
      </right>
      <top/>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style="thin">
        <color rgb="FF7F7F7F"/>
      </right>
      <top/>
      <bottom/>
      <diagonal/>
    </border>
    <border>
      <left/>
      <right/>
      <top style="thin">
        <color rgb="FF7F7F7F"/>
      </top>
      <bottom style="thin">
        <color rgb="FF7F7F7F"/>
      </bottom>
      <diagonal/>
    </border>
    <border>
      <left/>
      <right/>
      <top/>
      <bottom style="thin">
        <color rgb="FF7F7F7F"/>
      </bottom>
      <diagonal/>
    </border>
    <border>
      <left/>
      <right style="medium">
        <color indexed="64"/>
      </right>
      <top style="thin">
        <color indexed="64"/>
      </top>
      <bottom/>
      <diagonal/>
    </border>
  </borders>
  <cellStyleXfs count="7">
    <xf numFmtId="0" fontId="0" fillId="0" borderId="0"/>
    <xf numFmtId="43" fontId="1" fillId="0" borderId="0" applyFont="0" applyFill="0" applyBorder="0" applyAlignment="0" applyProtection="0"/>
    <xf numFmtId="0" fontId="2" fillId="0" borderId="0"/>
    <xf numFmtId="0" fontId="17" fillId="0" borderId="0" applyNumberFormat="0" applyFill="0" applyBorder="0" applyAlignment="0" applyProtection="0">
      <alignment vertical="top"/>
      <protection locked="0"/>
    </xf>
    <xf numFmtId="0" fontId="1" fillId="0" borderId="0"/>
    <xf numFmtId="0" fontId="2" fillId="0" borderId="0"/>
    <xf numFmtId="0" fontId="43" fillId="16" borderId="30" applyNumberFormat="0" applyAlignment="0" applyProtection="0"/>
  </cellStyleXfs>
  <cellXfs count="492">
    <xf numFmtId="0" fontId="0" fillId="0" borderId="0" xfId="0"/>
    <xf numFmtId="0" fontId="3" fillId="2" borderId="0" xfId="2" applyFont="1" applyFill="1" applyAlignment="1"/>
    <xf numFmtId="0" fontId="2" fillId="2" borderId="0" xfId="2" applyFill="1"/>
    <xf numFmtId="0" fontId="2" fillId="0" borderId="0" xfId="2"/>
    <xf numFmtId="0" fontId="4" fillId="3" borderId="1" xfId="2" applyFont="1" applyFill="1" applyBorder="1" applyAlignment="1">
      <alignment horizontal="left" vertical="center"/>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3" borderId="1" xfId="2" applyFont="1" applyFill="1" applyBorder="1" applyAlignment="1">
      <alignment horizontal="left" vertical="center" wrapText="1"/>
    </xf>
    <xf numFmtId="0" fontId="4" fillId="2" borderId="0" xfId="2" applyFont="1" applyFill="1"/>
    <xf numFmtId="0" fontId="2" fillId="4" borderId="6" xfId="2" applyFont="1" applyFill="1" applyBorder="1" applyAlignment="1">
      <alignment horizontal="left" vertical="center"/>
    </xf>
    <xf numFmtId="0" fontId="2" fillId="0" borderId="0" xfId="2" applyFill="1"/>
    <xf numFmtId="0" fontId="2" fillId="4" borderId="9" xfId="2" applyFont="1" applyFill="1" applyBorder="1" applyAlignment="1">
      <alignment horizontal="left" vertical="center"/>
    </xf>
    <xf numFmtId="0" fontId="2" fillId="5" borderId="9" xfId="2" applyFont="1" applyFill="1" applyBorder="1" applyAlignment="1">
      <alignment horizontal="left" vertical="center"/>
    </xf>
    <xf numFmtId="0" fontId="2" fillId="5" borderId="10" xfId="2" applyFont="1" applyFill="1" applyBorder="1" applyAlignment="1">
      <alignment horizontal="left" vertical="center"/>
    </xf>
    <xf numFmtId="0" fontId="2" fillId="5" borderId="13" xfId="2" applyFont="1" applyFill="1" applyBorder="1" applyAlignment="1">
      <alignment horizontal="left" vertical="center"/>
    </xf>
    <xf numFmtId="14" fontId="2" fillId="2" borderId="0" xfId="2" applyNumberFormat="1" applyFont="1" applyFill="1" applyAlignment="1">
      <alignment horizontal="left"/>
    </xf>
    <xf numFmtId="0" fontId="2" fillId="2" borderId="0" xfId="2" applyFont="1" applyFill="1"/>
    <xf numFmtId="0" fontId="2" fillId="6" borderId="0" xfId="2" applyFont="1" applyFill="1"/>
    <xf numFmtId="0" fontId="2" fillId="6" borderId="0" xfId="2" applyFill="1"/>
    <xf numFmtId="49" fontId="2" fillId="2" borderId="0" xfId="2" applyNumberFormat="1" applyFont="1" applyFill="1"/>
    <xf numFmtId="0" fontId="4" fillId="0" borderId="1" xfId="2" applyFont="1" applyBorder="1" applyAlignment="1" applyProtection="1">
      <protection locked="0"/>
    </xf>
    <xf numFmtId="0" fontId="2" fillId="0" borderId="17" xfId="2" applyBorder="1" applyAlignment="1" applyProtection="1">
      <protection locked="0"/>
    </xf>
    <xf numFmtId="0" fontId="2" fillId="0" borderId="18" xfId="2" applyBorder="1" applyProtection="1">
      <protection locked="0"/>
    </xf>
    <xf numFmtId="0" fontId="4" fillId="0" borderId="18" xfId="2" applyFont="1" applyBorder="1" applyProtection="1">
      <protection locked="0"/>
    </xf>
    <xf numFmtId="0" fontId="2" fillId="2" borderId="0" xfId="2" applyFill="1" applyAlignment="1">
      <alignment horizontal="center"/>
    </xf>
    <xf numFmtId="0" fontId="2" fillId="2" borderId="0" xfId="2" applyFill="1" applyAlignment="1">
      <alignment horizontal="right"/>
    </xf>
    <xf numFmtId="0" fontId="2" fillId="0" borderId="2" xfId="2" applyFill="1" applyBorder="1"/>
    <xf numFmtId="0" fontId="2" fillId="0" borderId="4" xfId="2" applyFill="1" applyBorder="1"/>
    <xf numFmtId="0" fontId="2" fillId="2" borderId="0" xfId="2" applyFill="1" applyBorder="1" applyAlignment="1">
      <alignment vertical="top" wrapText="1"/>
    </xf>
    <xf numFmtId="0" fontId="7" fillId="2" borderId="0" xfId="2" applyFont="1" applyFill="1"/>
    <xf numFmtId="0" fontId="9" fillId="8" borderId="19" xfId="2" applyFont="1" applyFill="1" applyBorder="1"/>
    <xf numFmtId="0" fontId="2" fillId="8" borderId="20" xfId="2" applyFill="1" applyBorder="1"/>
    <xf numFmtId="0" fontId="2" fillId="8" borderId="21" xfId="2" applyFill="1" applyBorder="1"/>
    <xf numFmtId="0" fontId="2" fillId="8" borderId="22" xfId="2" applyFill="1" applyBorder="1"/>
    <xf numFmtId="0" fontId="2" fillId="8" borderId="0" xfId="2" applyFill="1" applyBorder="1"/>
    <xf numFmtId="0" fontId="2" fillId="8" borderId="23" xfId="2" applyFill="1" applyBorder="1"/>
    <xf numFmtId="0" fontId="10" fillId="8" borderId="24" xfId="0" applyFont="1" applyFill="1" applyBorder="1"/>
    <xf numFmtId="0" fontId="2" fillId="8" borderId="9" xfId="2" applyFill="1" applyBorder="1"/>
    <xf numFmtId="0" fontId="2" fillId="8" borderId="25" xfId="2" applyFill="1" applyBorder="1"/>
    <xf numFmtId="0" fontId="6" fillId="2" borderId="0" xfId="2" applyFont="1" applyFill="1" applyAlignment="1">
      <alignment horizontal="center"/>
    </xf>
    <xf numFmtId="0" fontId="4" fillId="3" borderId="16" xfId="2" applyFont="1" applyFill="1" applyBorder="1" applyAlignment="1">
      <alignment horizontal="center"/>
    </xf>
    <xf numFmtId="0" fontId="2" fillId="0" borderId="16" xfId="2" applyFont="1" applyBorder="1" applyProtection="1">
      <protection locked="0"/>
    </xf>
    <xf numFmtId="0" fontId="13" fillId="0" borderId="16" xfId="0" applyFont="1" applyFill="1" applyBorder="1" applyAlignment="1">
      <alignment wrapText="1"/>
    </xf>
    <xf numFmtId="1" fontId="13" fillId="0" borderId="16" xfId="0" applyNumberFormat="1" applyFont="1" applyFill="1" applyBorder="1"/>
    <xf numFmtId="0" fontId="13" fillId="0" borderId="16" xfId="0" applyFont="1" applyBorder="1" applyProtection="1">
      <protection locked="0"/>
    </xf>
    <xf numFmtId="0" fontId="13" fillId="0" borderId="16" xfId="0" applyFont="1" applyFill="1" applyBorder="1" applyProtection="1">
      <protection locked="0"/>
    </xf>
    <xf numFmtId="0" fontId="13" fillId="0" borderId="16" xfId="0" applyFont="1" applyBorder="1" applyAlignment="1" applyProtection="1">
      <alignment horizontal="center"/>
      <protection locked="0"/>
    </xf>
    <xf numFmtId="0" fontId="4" fillId="9" borderId="16" xfId="2" applyFont="1" applyFill="1" applyBorder="1"/>
    <xf numFmtId="0" fontId="2" fillId="9" borderId="16" xfId="2" applyFill="1" applyBorder="1" applyAlignment="1">
      <alignment vertical="top"/>
    </xf>
    <xf numFmtId="0" fontId="2" fillId="9" borderId="16" xfId="2" applyFill="1" applyBorder="1"/>
    <xf numFmtId="0" fontId="2" fillId="9" borderId="16" xfId="2" applyFill="1" applyBorder="1" applyAlignment="1">
      <alignment horizontal="left"/>
    </xf>
    <xf numFmtId="0" fontId="2" fillId="9" borderId="16" xfId="2" applyFill="1" applyBorder="1" applyAlignment="1"/>
    <xf numFmtId="0" fontId="2" fillId="9" borderId="10" xfId="2" applyFill="1" applyBorder="1" applyAlignment="1"/>
    <xf numFmtId="0" fontId="2" fillId="9" borderId="17" xfId="2" applyFill="1" applyBorder="1" applyAlignment="1"/>
    <xf numFmtId="0" fontId="13" fillId="0" borderId="16" xfId="0" applyFont="1" applyFill="1" applyBorder="1" applyAlignment="1">
      <alignment horizontal="left" vertical="top" wrapText="1"/>
    </xf>
    <xf numFmtId="0" fontId="2" fillId="0" borderId="16" xfId="2" applyBorder="1" applyAlignment="1" applyProtection="1">
      <alignment vertical="top"/>
      <protection locked="0"/>
    </xf>
    <xf numFmtId="11" fontId="13" fillId="10" borderId="16" xfId="1" applyNumberFormat="1" applyFont="1" applyFill="1" applyBorder="1" applyAlignment="1" applyProtection="1">
      <alignment vertical="top"/>
      <protection hidden="1"/>
    </xf>
    <xf numFmtId="0" fontId="13" fillId="10" borderId="16" xfId="0" applyFont="1" applyFill="1" applyBorder="1" applyAlignment="1" applyProtection="1">
      <alignment vertical="top"/>
      <protection hidden="1"/>
    </xf>
    <xf numFmtId="2" fontId="13" fillId="10" borderId="16" xfId="0" applyNumberFormat="1" applyFont="1" applyFill="1" applyBorder="1" applyAlignment="1" applyProtection="1">
      <alignment vertical="top"/>
      <protection hidden="1"/>
    </xf>
    <xf numFmtId="0" fontId="2" fillId="0" borderId="16" xfId="2" applyBorder="1" applyAlignment="1" applyProtection="1">
      <alignment horizontal="center" vertical="top"/>
      <protection locked="0"/>
    </xf>
    <xf numFmtId="0" fontId="2" fillId="0" borderId="16" xfId="2" applyBorder="1" applyAlignment="1" applyProtection="1">
      <alignment vertical="top" wrapText="1"/>
      <protection locked="0"/>
    </xf>
    <xf numFmtId="0" fontId="13" fillId="0" borderId="16" xfId="0" applyFont="1" applyFill="1" applyBorder="1"/>
    <xf numFmtId="0" fontId="2" fillId="0" borderId="16" xfId="2" applyFont="1" applyBorder="1" applyAlignment="1" applyProtection="1">
      <alignment vertical="top"/>
      <protection locked="0"/>
    </xf>
    <xf numFmtId="0" fontId="13" fillId="0" borderId="16" xfId="0" applyFont="1" applyBorder="1"/>
    <xf numFmtId="0" fontId="4" fillId="9" borderId="16" xfId="2" applyFont="1" applyFill="1" applyBorder="1" applyAlignment="1">
      <alignment vertical="top"/>
    </xf>
    <xf numFmtId="0" fontId="2" fillId="9" borderId="16" xfId="2" applyFill="1" applyBorder="1" applyAlignment="1">
      <alignment horizontal="center" vertical="top"/>
    </xf>
    <xf numFmtId="0" fontId="2" fillId="9" borderId="16" xfId="2" applyFill="1" applyBorder="1" applyAlignment="1">
      <alignment vertical="top" wrapText="1"/>
    </xf>
    <xf numFmtId="0" fontId="2" fillId="0" borderId="16" xfId="2" applyFont="1" applyFill="1" applyBorder="1" applyAlignment="1" applyProtection="1">
      <alignment vertical="top"/>
      <protection locked="0"/>
    </xf>
    <xf numFmtId="0" fontId="13" fillId="0" borderId="16" xfId="0" applyFont="1" applyBorder="1" applyAlignment="1" applyProtection="1">
      <alignment vertical="top"/>
      <protection locked="0"/>
    </xf>
    <xf numFmtId="0" fontId="2" fillId="0" borderId="16" xfId="2" applyFill="1" applyBorder="1" applyAlignment="1" applyProtection="1">
      <alignment horizontal="center" vertical="top" wrapText="1"/>
      <protection locked="0"/>
    </xf>
    <xf numFmtId="0" fontId="13" fillId="0" borderId="16" xfId="0" applyFont="1" applyBorder="1" applyAlignment="1">
      <alignment vertical="top"/>
    </xf>
    <xf numFmtId="0" fontId="2" fillId="0" borderId="16" xfId="0" applyFont="1" applyBorder="1" applyAlignment="1">
      <alignment vertical="top"/>
    </xf>
    <xf numFmtId="0" fontId="2" fillId="5" borderId="16" xfId="0" applyFont="1" applyFill="1" applyBorder="1" applyAlignment="1" applyProtection="1">
      <alignment vertical="top"/>
      <protection locked="0"/>
    </xf>
    <xf numFmtId="0" fontId="2" fillId="9" borderId="16" xfId="2" applyFont="1" applyFill="1" applyBorder="1" applyAlignment="1">
      <alignment vertical="top"/>
    </xf>
    <xf numFmtId="11" fontId="2" fillId="9" borderId="16" xfId="1" applyNumberFormat="1" applyFont="1" applyFill="1" applyBorder="1" applyAlignment="1" applyProtection="1">
      <alignment vertical="top"/>
      <protection hidden="1"/>
    </xf>
    <xf numFmtId="0" fontId="2" fillId="9" borderId="16" xfId="2" applyFill="1" applyBorder="1" applyAlignment="1" applyProtection="1">
      <alignment vertical="top"/>
      <protection hidden="1"/>
    </xf>
    <xf numFmtId="0" fontId="8" fillId="2" borderId="0" xfId="2" applyFont="1" applyFill="1"/>
    <xf numFmtId="0" fontId="14" fillId="2" borderId="0" xfId="2" applyFont="1" applyFill="1"/>
    <xf numFmtId="0" fontId="15" fillId="0" borderId="0" xfId="2" applyFont="1" applyFill="1" applyAlignment="1">
      <alignment horizontal="center"/>
    </xf>
    <xf numFmtId="11" fontId="13" fillId="0" borderId="16" xfId="0" applyNumberFormat="1" applyFont="1" applyFill="1" applyBorder="1"/>
    <xf numFmtId="0" fontId="4" fillId="3" borderId="0" xfId="2" applyFont="1" applyFill="1" applyAlignment="1">
      <alignment vertical="top" wrapText="1"/>
    </xf>
    <xf numFmtId="0" fontId="16" fillId="3" borderId="0" xfId="2" applyFont="1" applyFill="1" applyAlignment="1">
      <alignment horizontal="left" vertical="top" wrapText="1"/>
    </xf>
    <xf numFmtId="0" fontId="2" fillId="3" borderId="0" xfId="2" applyFont="1" applyFill="1" applyAlignment="1">
      <alignment horizontal="left" vertical="top" wrapText="1"/>
    </xf>
    <xf numFmtId="0" fontId="2" fillId="3" borderId="0" xfId="2" applyFill="1" applyAlignment="1">
      <alignment horizontal="left" vertical="top" wrapText="1"/>
    </xf>
    <xf numFmtId="0" fontId="2" fillId="3" borderId="0" xfId="2" applyFill="1" applyAlignment="1">
      <alignment vertical="top" wrapText="1"/>
    </xf>
    <xf numFmtId="0" fontId="2" fillId="11" borderId="0" xfId="2" applyFont="1" applyFill="1" applyAlignment="1" applyProtection="1">
      <alignment vertical="top" wrapText="1"/>
      <protection hidden="1"/>
    </xf>
    <xf numFmtId="0" fontId="4" fillId="11" borderId="0" xfId="2" applyFont="1" applyFill="1" applyAlignment="1" applyProtection="1">
      <alignment horizontal="left" vertical="top" wrapText="1"/>
      <protection hidden="1"/>
    </xf>
    <xf numFmtId="0" fontId="4" fillId="11" borderId="0" xfId="2" applyFont="1" applyFill="1" applyAlignment="1" applyProtection="1">
      <alignment horizontal="center" vertical="top" wrapText="1"/>
      <protection hidden="1"/>
    </xf>
    <xf numFmtId="0" fontId="4" fillId="11" borderId="0" xfId="2" applyFont="1" applyFill="1" applyAlignment="1" applyProtection="1">
      <alignment vertical="top" wrapText="1"/>
      <protection hidden="1"/>
    </xf>
    <xf numFmtId="0" fontId="2" fillId="0" borderId="0" xfId="2" applyFont="1" applyFill="1" applyAlignment="1">
      <alignment vertical="top" wrapText="1"/>
    </xf>
    <xf numFmtId="0" fontId="2" fillId="0" borderId="0" xfId="2" applyFont="1" applyFill="1" applyAlignment="1" applyProtection="1">
      <alignment horizontal="left" vertical="top" wrapText="1"/>
      <protection locked="0"/>
    </xf>
    <xf numFmtId="0" fontId="2" fillId="0" borderId="0" xfId="2" applyFill="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2" fillId="0" borderId="0" xfId="2" applyFill="1" applyAlignment="1" applyProtection="1">
      <alignment vertical="top" wrapText="1"/>
      <protection locked="0"/>
    </xf>
    <xf numFmtId="0" fontId="2" fillId="0" borderId="0" xfId="2" applyFill="1" applyProtection="1">
      <protection locked="0"/>
    </xf>
    <xf numFmtId="0" fontId="12" fillId="0" borderId="0" xfId="2" applyFont="1" applyFill="1" applyAlignment="1" applyProtection="1">
      <alignment horizontal="left" vertical="top" wrapText="1"/>
      <protection locked="0"/>
    </xf>
    <xf numFmtId="0" fontId="2" fillId="0" borderId="0" xfId="2" applyFont="1" applyFill="1" applyAlignment="1" applyProtection="1">
      <alignment vertical="top" wrapText="1"/>
      <protection locked="0"/>
    </xf>
    <xf numFmtId="0" fontId="2" fillId="12" borderId="0" xfId="2" applyFont="1" applyFill="1" applyAlignment="1">
      <alignment vertical="top" wrapText="1"/>
    </xf>
    <xf numFmtId="0" fontId="2" fillId="12" borderId="0" xfId="2" applyFont="1" applyFill="1" applyAlignment="1" applyProtection="1">
      <alignment horizontal="left" vertical="top" wrapText="1"/>
      <protection locked="0"/>
    </xf>
    <xf numFmtId="0" fontId="2" fillId="12" borderId="0" xfId="2" applyFill="1" applyAlignment="1" applyProtection="1">
      <alignment horizontal="left" vertical="top" wrapText="1"/>
      <protection locked="0"/>
    </xf>
    <xf numFmtId="0" fontId="13" fillId="12" borderId="0" xfId="0" applyFont="1" applyFill="1" applyAlignment="1" applyProtection="1">
      <alignment horizontal="left" vertical="top" wrapText="1"/>
      <protection locked="0"/>
    </xf>
    <xf numFmtId="0" fontId="2" fillId="12" borderId="0" xfId="2" applyFill="1" applyAlignment="1" applyProtection="1">
      <alignment vertical="top" wrapText="1"/>
      <protection locked="0"/>
    </xf>
    <xf numFmtId="0" fontId="2" fillId="12" borderId="0" xfId="2" applyFont="1" applyFill="1" applyAlignment="1" applyProtection="1">
      <alignment vertical="top" wrapText="1"/>
      <protection locked="0"/>
    </xf>
    <xf numFmtId="0" fontId="2" fillId="12" borderId="0" xfId="2" applyFill="1" applyProtection="1">
      <protection locked="0"/>
    </xf>
    <xf numFmtId="0" fontId="6" fillId="12" borderId="0" xfId="2" applyFont="1" applyFill="1" applyProtection="1">
      <protection locked="0"/>
    </xf>
    <xf numFmtId="49" fontId="2" fillId="0" borderId="0" xfId="2" applyNumberFormat="1" applyFont="1" applyFill="1" applyAlignment="1" applyProtection="1">
      <alignment horizontal="left" vertical="top" wrapText="1"/>
      <protection locked="0"/>
    </xf>
    <xf numFmtId="49" fontId="2" fillId="0" borderId="0" xfId="2" applyNumberFormat="1" applyFill="1" applyAlignment="1" applyProtection="1">
      <alignment horizontal="left" vertical="top" wrapText="1"/>
      <protection locked="0"/>
    </xf>
    <xf numFmtId="49" fontId="13" fillId="0" borderId="0" xfId="0" applyNumberFormat="1" applyFont="1" applyFill="1" applyAlignment="1" applyProtection="1">
      <alignment horizontal="left" vertical="top" wrapText="1"/>
      <protection locked="0"/>
    </xf>
    <xf numFmtId="49" fontId="2" fillId="0" borderId="0" xfId="2" applyNumberFormat="1" applyFill="1" applyAlignment="1" applyProtection="1">
      <alignment vertical="top" wrapText="1"/>
      <protection locked="0"/>
    </xf>
    <xf numFmtId="49" fontId="2" fillId="0" borderId="0" xfId="2" applyNumberFormat="1" applyFill="1" applyProtection="1">
      <protection locked="0"/>
    </xf>
    <xf numFmtId="0" fontId="2" fillId="12" borderId="0" xfId="3" applyFont="1" applyFill="1" applyAlignment="1" applyProtection="1">
      <alignment horizontal="left" vertical="top" wrapText="1"/>
      <protection locked="0"/>
    </xf>
    <xf numFmtId="49" fontId="2" fillId="12" borderId="0" xfId="2" applyNumberFormat="1" applyFont="1" applyFill="1" applyAlignment="1" applyProtection="1">
      <alignment horizontal="left" vertical="top" wrapText="1"/>
      <protection locked="0"/>
    </xf>
    <xf numFmtId="49" fontId="2" fillId="12" borderId="0" xfId="2" applyNumberFormat="1" applyFill="1" applyAlignment="1" applyProtection="1">
      <alignment horizontal="left" vertical="top" wrapText="1"/>
      <protection locked="0"/>
    </xf>
    <xf numFmtId="49" fontId="13" fillId="12" borderId="0" xfId="0" applyNumberFormat="1" applyFont="1" applyFill="1" applyAlignment="1" applyProtection="1">
      <alignment horizontal="left" vertical="top" wrapText="1"/>
      <protection locked="0"/>
    </xf>
    <xf numFmtId="49" fontId="2" fillId="12" borderId="0" xfId="2" applyNumberFormat="1" applyFill="1" applyAlignment="1" applyProtection="1">
      <alignment vertical="top" wrapText="1"/>
      <protection locked="0"/>
    </xf>
    <xf numFmtId="49" fontId="2" fillId="12" borderId="0" xfId="2" applyNumberFormat="1" applyFill="1" applyProtection="1">
      <protection locked="0"/>
    </xf>
    <xf numFmtId="0" fontId="12" fillId="12" borderId="0" xfId="2" applyFont="1" applyFill="1" applyAlignment="1" applyProtection="1">
      <alignment horizontal="left"/>
      <protection locked="0"/>
    </xf>
    <xf numFmtId="0" fontId="2" fillId="0" borderId="0" xfId="2" applyFont="1" applyFill="1" applyAlignment="1">
      <alignment horizontal="left" vertical="top"/>
    </xf>
    <xf numFmtId="0" fontId="13" fillId="0" borderId="0" xfId="0" applyFont="1" applyAlignment="1">
      <alignment horizontal="left" vertical="top"/>
    </xf>
    <xf numFmtId="0" fontId="2" fillId="0" borderId="0" xfId="2" applyFont="1" applyAlignment="1">
      <alignment horizontal="left" vertical="top"/>
    </xf>
    <xf numFmtId="0" fontId="2" fillId="0" borderId="0" xfId="0" applyFont="1" applyFill="1" applyAlignment="1" applyProtection="1">
      <alignment horizontal="left" vertical="top"/>
      <protection locked="0"/>
    </xf>
    <xf numFmtId="0" fontId="17" fillId="0" borderId="0" xfId="3" applyFont="1" applyFill="1" applyAlignment="1" applyProtection="1">
      <alignment horizontal="left" vertical="top"/>
      <protection locked="0"/>
    </xf>
    <xf numFmtId="0" fontId="2" fillId="0" borderId="0" xfId="2" applyFont="1" applyFill="1" applyAlignment="1" applyProtection="1">
      <alignment horizontal="left" vertical="top"/>
      <protection locked="0"/>
    </xf>
    <xf numFmtId="0" fontId="2" fillId="0" borderId="0" xfId="3" applyFont="1" applyFill="1" applyAlignment="1" applyProtection="1">
      <alignment horizontal="left" vertical="top"/>
      <protection locked="0"/>
    </xf>
    <xf numFmtId="49" fontId="2" fillId="0" borderId="0" xfId="2" applyNumberFormat="1" applyFont="1" applyFill="1" applyAlignment="1">
      <alignment horizontal="left" vertical="top" wrapText="1"/>
    </xf>
    <xf numFmtId="49" fontId="13" fillId="0" borderId="0" xfId="0" applyNumberFormat="1" applyFont="1" applyAlignment="1">
      <alignment horizontal="left" vertical="top" wrapText="1"/>
    </xf>
    <xf numFmtId="49" fontId="2" fillId="0" borderId="0" xfId="2" applyNumberFormat="1" applyFont="1" applyAlignment="1">
      <alignment horizontal="left" vertical="top" wrapText="1"/>
    </xf>
    <xf numFmtId="49" fontId="2" fillId="0" borderId="0" xfId="0" applyNumberFormat="1" applyFont="1" applyFill="1" applyAlignment="1" applyProtection="1">
      <alignment horizontal="left" vertical="top" wrapText="1"/>
      <protection locked="0"/>
    </xf>
    <xf numFmtId="49" fontId="17" fillId="0" borderId="0" xfId="3" applyNumberFormat="1" applyFont="1" applyFill="1" applyAlignment="1" applyProtection="1">
      <alignment horizontal="left" vertical="top" wrapText="1"/>
      <protection locked="0"/>
    </xf>
    <xf numFmtId="49" fontId="2" fillId="0" borderId="0" xfId="3" applyNumberFormat="1" applyFont="1" applyFill="1" applyAlignment="1" applyProtection="1">
      <alignment horizontal="left" vertical="top" wrapText="1"/>
      <protection locked="0"/>
    </xf>
    <xf numFmtId="0" fontId="2" fillId="12" borderId="0" xfId="0" applyFont="1" applyFill="1" applyAlignment="1" applyProtection="1">
      <alignment horizontal="left" vertical="top" wrapText="1"/>
      <protection locked="0"/>
    </xf>
    <xf numFmtId="0" fontId="2" fillId="12" borderId="0" xfId="2" applyNumberFormat="1" applyFont="1" applyFill="1" applyAlignment="1" applyProtection="1">
      <alignment horizontal="left" vertical="top" wrapText="1"/>
      <protection locked="0"/>
    </xf>
    <xf numFmtId="0" fontId="6" fillId="12" borderId="0" xfId="2" applyFont="1" applyFill="1" applyAlignment="1" applyProtection="1">
      <alignment horizontal="left" vertical="top" wrapText="1"/>
      <protection locked="0"/>
    </xf>
    <xf numFmtId="0" fontId="6" fillId="12" borderId="0" xfId="2" applyFont="1" applyFill="1" applyAlignment="1" applyProtection="1">
      <alignment vertical="top" wrapText="1"/>
      <protection locked="0"/>
    </xf>
    <xf numFmtId="0" fontId="2" fillId="12" borderId="0" xfId="2" applyFont="1" applyFill="1" applyProtection="1">
      <protection locked="0"/>
    </xf>
    <xf numFmtId="0" fontId="2" fillId="13" borderId="0" xfId="2" applyFill="1" applyAlignment="1">
      <alignment vertical="top" wrapText="1"/>
    </xf>
    <xf numFmtId="0" fontId="2" fillId="13" borderId="0" xfId="2" applyFill="1" applyAlignment="1">
      <alignment horizontal="left" vertical="top" wrapText="1"/>
    </xf>
    <xf numFmtId="0" fontId="8" fillId="0" borderId="0" xfId="2" applyFont="1" applyFill="1" applyAlignment="1">
      <alignment wrapText="1"/>
    </xf>
    <xf numFmtId="0" fontId="2" fillId="0" borderId="0" xfId="2" applyAlignment="1">
      <alignment horizontal="left" vertical="top" wrapText="1"/>
    </xf>
    <xf numFmtId="0" fontId="2" fillId="0" borderId="0" xfId="2" applyAlignment="1">
      <alignment vertical="top" wrapText="1"/>
    </xf>
    <xf numFmtId="0" fontId="4" fillId="0" borderId="0" xfId="2" applyFont="1" applyAlignment="1">
      <alignment vertical="top" wrapText="1"/>
    </xf>
    <xf numFmtId="0" fontId="4" fillId="0" borderId="0" xfId="2" applyFont="1" applyAlignment="1">
      <alignment horizontal="left" vertical="top" wrapText="1"/>
    </xf>
    <xf numFmtId="0" fontId="14" fillId="0" borderId="0" xfId="2" applyFont="1" applyAlignment="1">
      <alignment horizontal="left"/>
    </xf>
    <xf numFmtId="0" fontId="2" fillId="0" borderId="0" xfId="2" applyAlignment="1">
      <alignment horizontal="left"/>
    </xf>
    <xf numFmtId="0" fontId="18" fillId="0" borderId="0" xfId="2" applyFont="1" applyFill="1"/>
    <xf numFmtId="0" fontId="2" fillId="0" borderId="0" xfId="2" applyFont="1" applyAlignment="1">
      <alignment horizontal="left" wrapText="1"/>
    </xf>
    <xf numFmtId="0" fontId="4" fillId="0" borderId="16" xfId="2" applyFont="1" applyBorder="1" applyAlignment="1">
      <alignment horizontal="left"/>
    </xf>
    <xf numFmtId="0" fontId="2" fillId="0" borderId="16" xfId="2" applyFont="1" applyBorder="1" applyAlignment="1">
      <alignment horizontal="left" wrapText="1"/>
    </xf>
    <xf numFmtId="0" fontId="2" fillId="0" borderId="16" xfId="2" applyFont="1" applyBorder="1" applyAlignment="1">
      <alignment horizontal="left"/>
    </xf>
    <xf numFmtId="0" fontId="2" fillId="0" borderId="16" xfId="2" applyFont="1" applyBorder="1"/>
    <xf numFmtId="0" fontId="2" fillId="0" borderId="16" xfId="2" applyBorder="1"/>
    <xf numFmtId="0" fontId="2" fillId="5" borderId="16" xfId="2" applyFont="1" applyFill="1" applyBorder="1" applyAlignment="1">
      <alignment horizontal="left" wrapText="1"/>
    </xf>
    <xf numFmtId="0" fontId="6" fillId="5" borderId="16" xfId="2" applyFont="1" applyFill="1" applyBorder="1" applyAlignment="1">
      <alignment horizontal="left" wrapText="1"/>
    </xf>
    <xf numFmtId="0" fontId="6" fillId="5" borderId="16" xfId="2" applyFont="1" applyFill="1" applyBorder="1" applyAlignment="1">
      <alignment horizontal="left"/>
    </xf>
    <xf numFmtId="0" fontId="2" fillId="5" borderId="16" xfId="2" applyFont="1" applyFill="1" applyBorder="1" applyAlignment="1">
      <alignment horizontal="left"/>
    </xf>
    <xf numFmtId="0" fontId="4" fillId="0" borderId="16" xfId="2" applyFont="1" applyFill="1" applyBorder="1" applyAlignment="1">
      <alignment horizontal="left"/>
    </xf>
    <xf numFmtId="0" fontId="2" fillId="0" borderId="16" xfId="2" applyBorder="1" applyAlignment="1">
      <alignment horizontal="left"/>
    </xf>
    <xf numFmtId="0" fontId="4" fillId="14" borderId="16" xfId="2" applyFont="1" applyFill="1" applyBorder="1" applyAlignment="1">
      <alignment horizontal="left" wrapText="1"/>
    </xf>
    <xf numFmtId="0" fontId="19" fillId="7" borderId="0" xfId="2" applyFont="1" applyFill="1"/>
    <xf numFmtId="0" fontId="2" fillId="7" borderId="0" xfId="2" applyFill="1"/>
    <xf numFmtId="0" fontId="4" fillId="10" borderId="28" xfId="2" applyFont="1" applyFill="1" applyBorder="1" applyAlignment="1">
      <alignment horizontal="center"/>
    </xf>
    <xf numFmtId="0" fontId="20" fillId="0" borderId="28" xfId="2" applyFont="1" applyBorder="1" applyAlignment="1">
      <alignment wrapText="1"/>
    </xf>
    <xf numFmtId="0" fontId="21" fillId="0" borderId="28" xfId="2" applyFont="1" applyBorder="1" applyAlignment="1">
      <alignment wrapText="1"/>
    </xf>
    <xf numFmtId="0" fontId="4" fillId="0" borderId="27" xfId="2" applyFont="1" applyBorder="1" applyAlignment="1">
      <alignment wrapText="1"/>
    </xf>
    <xf numFmtId="0" fontId="4" fillId="0" borderId="0" xfId="2" applyFont="1" applyFill="1" applyBorder="1" applyAlignment="1">
      <alignment wrapText="1"/>
    </xf>
    <xf numFmtId="0" fontId="20" fillId="0" borderId="0" xfId="2" applyFont="1" applyBorder="1" applyAlignment="1">
      <alignment wrapText="1"/>
    </xf>
    <xf numFmtId="0" fontId="19" fillId="0" borderId="0" xfId="0" applyFont="1" applyFill="1"/>
    <xf numFmtId="0" fontId="2" fillId="0" borderId="0" xfId="0" applyFont="1"/>
    <xf numFmtId="0" fontId="4" fillId="0" borderId="19" xfId="0" applyFont="1" applyBorder="1" applyAlignment="1">
      <alignment horizontal="left" vertical="center"/>
    </xf>
    <xf numFmtId="0" fontId="2" fillId="0" borderId="20" xfId="0" applyFont="1" applyBorder="1"/>
    <xf numFmtId="0" fontId="2" fillId="0" borderId="21" xfId="0" applyFont="1" applyBorder="1"/>
    <xf numFmtId="0" fontId="0" fillId="0" borderId="22" xfId="0" applyBorder="1"/>
    <xf numFmtId="0" fontId="4" fillId="0" borderId="0" xfId="0" applyFont="1" applyAlignment="1">
      <alignment wrapText="1"/>
    </xf>
    <xf numFmtId="0" fontId="4" fillId="0" borderId="16"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horizontal="left" vertical="center"/>
    </xf>
    <xf numFmtId="0" fontId="2" fillId="0" borderId="0" xfId="0" applyFont="1" applyBorder="1" applyAlignment="1">
      <alignment vertical="center"/>
    </xf>
    <xf numFmtId="0" fontId="2" fillId="0" borderId="23" xfId="0" applyFont="1" applyBorder="1" applyAlignment="1">
      <alignment vertical="center"/>
    </xf>
    <xf numFmtId="0" fontId="2" fillId="0" borderId="0" xfId="0" applyFont="1" applyAlignment="1">
      <alignment wrapText="1"/>
    </xf>
    <xf numFmtId="0" fontId="0" fillId="0" borderId="24" xfId="0" applyBorder="1"/>
    <xf numFmtId="0" fontId="22" fillId="0" borderId="0" xfId="0" applyFont="1"/>
    <xf numFmtId="0" fontId="19" fillId="0" borderId="0" xfId="0" applyFont="1" applyFill="1" applyBorder="1" applyAlignment="1">
      <alignment horizontal="left"/>
    </xf>
    <xf numFmtId="0" fontId="23" fillId="0" borderId="0" xfId="0" applyFont="1"/>
    <xf numFmtId="0" fontId="0" fillId="0" borderId="9" xfId="0" applyBorder="1"/>
    <xf numFmtId="0" fontId="0" fillId="0" borderId="25" xfId="0" applyBorder="1"/>
    <xf numFmtId="0" fontId="2" fillId="0" borderId="24" xfId="0" applyFont="1" applyBorder="1"/>
    <xf numFmtId="0" fontId="13" fillId="0" borderId="0" xfId="0" applyFont="1"/>
    <xf numFmtId="0" fontId="9" fillId="0" borderId="0" xfId="2" applyFont="1"/>
    <xf numFmtId="0" fontId="17" fillId="0" borderId="0" xfId="3" applyFont="1" applyAlignment="1" applyProtection="1"/>
    <xf numFmtId="0" fontId="2" fillId="0" borderId="10" xfId="2" applyFont="1" applyFill="1" applyBorder="1" applyAlignment="1">
      <alignment horizontal="center" vertical="center" wrapText="1"/>
    </xf>
    <xf numFmtId="0" fontId="15" fillId="0" borderId="0" xfId="2" applyFont="1" applyFill="1" applyAlignment="1">
      <alignment horizontal="center"/>
    </xf>
    <xf numFmtId="11" fontId="0" fillId="0" borderId="0" xfId="0" applyNumberFormat="1"/>
    <xf numFmtId="11" fontId="0" fillId="0" borderId="0" xfId="0" applyNumberFormat="1" applyAlignment="1">
      <alignment vertical="top" wrapText="1"/>
    </xf>
    <xf numFmtId="11" fontId="24" fillId="0" borderId="30" xfId="0" applyNumberFormat="1" applyFont="1" applyFill="1" applyBorder="1" applyAlignment="1">
      <alignment horizontal="left" vertical="top" wrapText="1"/>
    </xf>
    <xf numFmtId="0" fontId="0" fillId="0" borderId="30" xfId="0" applyFill="1" applyBorder="1" applyAlignment="1">
      <alignment horizontal="left" vertical="top" wrapText="1"/>
    </xf>
    <xf numFmtId="0" fontId="0" fillId="0" borderId="0" xfId="0" applyAlignment="1">
      <alignment vertical="top" wrapText="1"/>
    </xf>
    <xf numFmtId="0" fontId="13" fillId="0" borderId="0" xfId="2" applyFont="1" applyFill="1"/>
    <xf numFmtId="0" fontId="24" fillId="0" borderId="30" xfId="0" applyFont="1" applyFill="1" applyBorder="1" applyAlignment="1">
      <alignment horizontal="left" vertical="top" wrapText="1"/>
    </xf>
    <xf numFmtId="11" fontId="1" fillId="6" borderId="0" xfId="4" applyNumberFormat="1" applyFill="1"/>
    <xf numFmtId="0" fontId="1" fillId="0" borderId="0" xfId="4"/>
    <xf numFmtId="11" fontId="1" fillId="0" borderId="0" xfId="4" applyNumberFormat="1"/>
    <xf numFmtId="11" fontId="1" fillId="0" borderId="0" xfId="4" applyNumberFormat="1" applyFill="1"/>
    <xf numFmtId="0" fontId="0" fillId="0" borderId="0" xfId="4" applyFont="1"/>
    <xf numFmtId="0" fontId="25" fillId="0" borderId="30" xfId="0" applyFont="1" applyFill="1" applyBorder="1" applyAlignment="1">
      <alignment horizontal="left" vertical="top" wrapText="1"/>
    </xf>
    <xf numFmtId="0" fontId="28" fillId="0" borderId="34" xfId="2" applyFont="1" applyFill="1" applyBorder="1" applyAlignment="1">
      <alignment horizontal="center"/>
    </xf>
    <xf numFmtId="0" fontId="29" fillId="15" borderId="39" xfId="0" applyFont="1" applyFill="1" applyBorder="1" applyAlignment="1">
      <alignment horizontal="center"/>
    </xf>
    <xf numFmtId="0" fontId="29" fillId="0" borderId="38" xfId="0" applyFont="1" applyBorder="1" applyAlignment="1">
      <alignment horizontal="center"/>
    </xf>
    <xf numFmtId="0" fontId="29" fillId="0" borderId="16" xfId="0" applyFont="1" applyBorder="1" applyAlignment="1">
      <alignment horizontal="center"/>
    </xf>
    <xf numFmtId="0" fontId="2" fillId="6" borderId="41" xfId="2" applyFont="1" applyFill="1" applyBorder="1" applyAlignment="1">
      <alignment horizontal="right"/>
    </xf>
    <xf numFmtId="166" fontId="13" fillId="6" borderId="39" xfId="0" applyNumberFormat="1" applyFont="1" applyFill="1" applyBorder="1" applyAlignment="1">
      <alignment horizontal="right"/>
    </xf>
    <xf numFmtId="0" fontId="5" fillId="0" borderId="38" xfId="2" applyFont="1" applyFill="1" applyBorder="1" applyAlignment="1">
      <alignment horizontal="center" wrapText="1"/>
    </xf>
    <xf numFmtId="0" fontId="5" fillId="0" borderId="39" xfId="2" applyFont="1" applyFill="1" applyBorder="1" applyAlignment="1">
      <alignment horizontal="center" wrapText="1"/>
    </xf>
    <xf numFmtId="0" fontId="2" fillId="0" borderId="38" xfId="2" applyFont="1" applyBorder="1" applyProtection="1">
      <protection locked="0"/>
    </xf>
    <xf numFmtId="166" fontId="13" fillId="6" borderId="39" xfId="0" applyNumberFormat="1" applyFont="1" applyFill="1" applyBorder="1"/>
    <xf numFmtId="0" fontId="13" fillId="0" borderId="43" xfId="0" applyFont="1" applyBorder="1" applyProtection="1">
      <protection locked="0"/>
    </xf>
    <xf numFmtId="0" fontId="2" fillId="0" borderId="38" xfId="2" applyFont="1" applyFill="1" applyBorder="1" applyProtection="1">
      <protection locked="0"/>
    </xf>
    <xf numFmtId="0" fontId="2" fillId="0" borderId="44" xfId="2" applyFont="1" applyFill="1" applyBorder="1" applyProtection="1">
      <protection locked="0"/>
    </xf>
    <xf numFmtId="0" fontId="2" fillId="0" borderId="45" xfId="2" applyFont="1" applyFill="1" applyBorder="1" applyProtection="1">
      <protection locked="0"/>
    </xf>
    <xf numFmtId="164" fontId="13" fillId="0" borderId="45" xfId="0" applyNumberFormat="1" applyFont="1" applyFill="1" applyBorder="1"/>
    <xf numFmtId="164" fontId="13" fillId="0" borderId="46" xfId="0" applyNumberFormat="1" applyFont="1" applyFill="1" applyBorder="1"/>
    <xf numFmtId="164" fontId="13" fillId="0" borderId="47" xfId="0" applyNumberFormat="1" applyFont="1" applyFill="1" applyBorder="1"/>
    <xf numFmtId="0" fontId="13" fillId="0" borderId="48" xfId="0" applyFont="1" applyBorder="1" applyProtection="1">
      <protection locked="0"/>
    </xf>
    <xf numFmtId="0" fontId="31" fillId="0" borderId="0" xfId="0" applyFont="1"/>
    <xf numFmtId="0" fontId="29" fillId="0" borderId="10" xfId="0" applyFont="1" applyBorder="1" applyAlignment="1">
      <alignment horizontal="center"/>
    </xf>
    <xf numFmtId="0" fontId="0" fillId="0" borderId="10" xfId="0" applyBorder="1" applyAlignment="1">
      <alignment horizontal="center" vertical="top"/>
    </xf>
    <xf numFmtId="166" fontId="13" fillId="6" borderId="47" xfId="0" applyNumberFormat="1" applyFont="1" applyFill="1" applyBorder="1"/>
    <xf numFmtId="0" fontId="2" fillId="2" borderId="0" xfId="2" applyFill="1" applyAlignment="1"/>
    <xf numFmtId="0" fontId="4" fillId="3" borderId="16" xfId="2" applyFont="1" applyFill="1" applyBorder="1" applyAlignment="1">
      <alignment horizontal="center"/>
    </xf>
    <xf numFmtId="0" fontId="2" fillId="0" borderId="0" xfId="3" applyFont="1" applyFill="1" applyAlignment="1" applyProtection="1">
      <alignment horizontal="left" vertical="top" wrapText="1"/>
      <protection locked="0"/>
    </xf>
    <xf numFmtId="0" fontId="15" fillId="0" borderId="0" xfId="2" applyFont="1" applyFill="1" applyAlignment="1">
      <alignment horizontal="center"/>
    </xf>
    <xf numFmtId="0" fontId="29" fillId="0" borderId="0" xfId="0" applyFont="1" applyAlignment="1">
      <alignment horizontal="center" wrapText="1"/>
    </xf>
    <xf numFmtId="0" fontId="17" fillId="0" borderId="0" xfId="3" applyAlignment="1" applyProtection="1">
      <alignment horizontal="left" vertical="top"/>
    </xf>
    <xf numFmtId="0" fontId="2" fillId="2" borderId="0" xfId="2" applyFont="1" applyFill="1" applyAlignment="1">
      <alignment horizontal="left" vertical="center" wrapText="1"/>
    </xf>
    <xf numFmtId="0" fontId="2" fillId="0" borderId="1" xfId="2" applyFont="1" applyBorder="1" applyAlignment="1" applyProtection="1">
      <alignment horizontal="left"/>
      <protection locked="0"/>
    </xf>
    <xf numFmtId="0" fontId="2" fillId="0" borderId="10" xfId="2" applyFont="1" applyBorder="1" applyAlignment="1" applyProtection="1">
      <alignment horizontal="left"/>
      <protection locked="0"/>
    </xf>
    <xf numFmtId="0" fontId="2" fillId="0" borderId="17" xfId="2" applyFont="1" applyBorder="1" applyAlignment="1" applyProtection="1">
      <alignment horizontal="left"/>
      <protection locked="0"/>
    </xf>
    <xf numFmtId="0" fontId="15" fillId="0" borderId="0" xfId="2" applyFont="1" applyFill="1" applyAlignment="1">
      <alignment horizontal="center"/>
    </xf>
    <xf numFmtId="0" fontId="0" fillId="0" borderId="0" xfId="0" applyAlignment="1">
      <alignment horizontal="center"/>
    </xf>
    <xf numFmtId="0" fontId="0" fillId="0" borderId="31" xfId="0" applyFill="1" applyBorder="1" applyAlignment="1">
      <alignment horizontal="center" vertical="top" wrapText="1"/>
    </xf>
    <xf numFmtId="0" fontId="0" fillId="0" borderId="32" xfId="0" applyFill="1" applyBorder="1" applyAlignment="1">
      <alignment horizontal="center" vertical="top" wrapText="1"/>
    </xf>
    <xf numFmtId="0" fontId="29" fillId="0" borderId="17" xfId="0" applyFont="1" applyBorder="1" applyAlignment="1">
      <alignment horizontal="center"/>
    </xf>
    <xf numFmtId="164" fontId="13" fillId="0" borderId="50" xfId="0" applyNumberFormat="1" applyFont="1" applyFill="1" applyBorder="1"/>
    <xf numFmtId="166" fontId="13" fillId="6" borderId="41" xfId="0" applyNumberFormat="1" applyFont="1" applyFill="1" applyBorder="1"/>
    <xf numFmtId="0" fontId="13" fillId="0" borderId="22" xfId="0" applyFont="1" applyBorder="1"/>
    <xf numFmtId="11" fontId="13" fillId="0" borderId="0" xfId="0" applyNumberFormat="1" applyFont="1"/>
    <xf numFmtId="0" fontId="13" fillId="0" borderId="24" xfId="2" applyFont="1" applyFill="1" applyBorder="1"/>
    <xf numFmtId="0" fontId="13" fillId="0" borderId="9" xfId="2" applyFont="1" applyFill="1" applyBorder="1"/>
    <xf numFmtId="0" fontId="4" fillId="0" borderId="9" xfId="2" applyFont="1" applyFill="1" applyBorder="1"/>
    <xf numFmtId="0" fontId="32" fillId="0" borderId="9" xfId="2" applyFont="1" applyFill="1" applyBorder="1" applyAlignment="1">
      <alignment horizontal="left"/>
    </xf>
    <xf numFmtId="0" fontId="13" fillId="0" borderId="22" xfId="2" applyFont="1" applyFill="1" applyBorder="1"/>
    <xf numFmtId="0" fontId="13" fillId="0" borderId="0" xfId="2" applyFont="1" applyFill="1" applyAlignment="1">
      <alignment horizontal="left"/>
    </xf>
    <xf numFmtId="0" fontId="33" fillId="0" borderId="0" xfId="2" applyFont="1" applyFill="1"/>
    <xf numFmtId="0" fontId="34" fillId="0" borderId="22" xfId="2" applyFont="1" applyFill="1" applyBorder="1"/>
    <xf numFmtId="0" fontId="32" fillId="0" borderId="0" xfId="2" applyFont="1" applyFill="1" applyBorder="1"/>
    <xf numFmtId="0" fontId="32" fillId="0" borderId="0" xfId="2" applyFont="1" applyFill="1" applyBorder="1" applyAlignment="1">
      <alignment horizontal="left"/>
    </xf>
    <xf numFmtId="0" fontId="13" fillId="6" borderId="0" xfId="2" applyFont="1" applyFill="1" applyBorder="1"/>
    <xf numFmtId="0" fontId="34" fillId="0" borderId="0" xfId="2" applyFont="1" applyFill="1" applyBorder="1"/>
    <xf numFmtId="0" fontId="2" fillId="0" borderId="0" xfId="2" applyFill="1" applyBorder="1"/>
    <xf numFmtId="11" fontId="13" fillId="0" borderId="21" xfId="0" applyNumberFormat="1" applyFont="1" applyFill="1" applyBorder="1"/>
    <xf numFmtId="0" fontId="1" fillId="0" borderId="30" xfId="4" applyFill="1" applyBorder="1" applyAlignment="1">
      <alignment horizontal="left" vertical="top" wrapText="1"/>
    </xf>
    <xf numFmtId="11" fontId="24" fillId="0" borderId="30" xfId="4" applyNumberFormat="1" applyFont="1" applyFill="1" applyBorder="1" applyAlignment="1">
      <alignment horizontal="left" vertical="top" wrapText="1"/>
    </xf>
    <xf numFmtId="0" fontId="2" fillId="0" borderId="51" xfId="2" applyFill="1" applyBorder="1"/>
    <xf numFmtId="0" fontId="13" fillId="0" borderId="51" xfId="2" applyFont="1" applyFill="1" applyBorder="1"/>
    <xf numFmtId="0" fontId="0" fillId="0" borderId="51" xfId="0" applyBorder="1"/>
    <xf numFmtId="11" fontId="1" fillId="0" borderId="51" xfId="4" applyNumberFormat="1" applyBorder="1"/>
    <xf numFmtId="11" fontId="1" fillId="0" borderId="51" xfId="4" applyNumberFormat="1" applyFill="1" applyBorder="1"/>
    <xf numFmtId="11" fontId="24" fillId="0" borderId="54" xfId="4" applyNumberFormat="1" applyFont="1" applyFill="1" applyBorder="1" applyAlignment="1">
      <alignment horizontal="left" vertical="top" wrapText="1"/>
    </xf>
    <xf numFmtId="0" fontId="1" fillId="0" borderId="54" xfId="4" applyFill="1" applyBorder="1" applyAlignment="1">
      <alignment horizontal="left" vertical="top" wrapText="1"/>
    </xf>
    <xf numFmtId="0" fontId="1" fillId="0" borderId="51" xfId="4" applyBorder="1"/>
    <xf numFmtId="11" fontId="0" fillId="6" borderId="0" xfId="0" applyNumberFormat="1" applyFill="1"/>
    <xf numFmtId="0" fontId="0" fillId="0" borderId="0" xfId="0" applyFill="1"/>
    <xf numFmtId="0" fontId="35" fillId="0" borderId="0" xfId="2" applyFont="1" applyFill="1"/>
    <xf numFmtId="0" fontId="13" fillId="0" borderId="0" xfId="2" applyFont="1" applyFill="1" applyBorder="1"/>
    <xf numFmtId="0" fontId="0" fillId="0" borderId="0" xfId="0" applyBorder="1"/>
    <xf numFmtId="11" fontId="1" fillId="0" borderId="0" xfId="4" applyNumberFormat="1" applyFill="1" applyBorder="1"/>
    <xf numFmtId="0" fontId="0" fillId="0" borderId="55" xfId="0" applyBorder="1"/>
    <xf numFmtId="11" fontId="36" fillId="0" borderId="30" xfId="0" applyNumberFormat="1" applyFont="1" applyBorder="1" applyAlignment="1">
      <alignment horizontal="left" vertical="top" wrapText="1"/>
    </xf>
    <xf numFmtId="0" fontId="36" fillId="0" borderId="30" xfId="0" applyFont="1" applyBorder="1" applyAlignment="1">
      <alignment horizontal="left" vertical="top" wrapText="1"/>
    </xf>
    <xf numFmtId="0" fontId="0" fillId="0" borderId="30" xfId="0" applyBorder="1" applyAlignment="1">
      <alignment horizontal="left" vertical="top" wrapText="1"/>
    </xf>
    <xf numFmtId="167" fontId="38" fillId="0" borderId="30" xfId="0" applyNumberFormat="1" applyFont="1" applyFill="1" applyBorder="1" applyAlignment="1">
      <alignment horizontal="left" vertical="top" wrapText="1"/>
    </xf>
    <xf numFmtId="167" fontId="38" fillId="0" borderId="30" xfId="0" applyNumberFormat="1" applyFont="1" applyBorder="1" applyAlignment="1">
      <alignment horizontal="left" vertical="top" wrapText="1"/>
    </xf>
    <xf numFmtId="0" fontId="12" fillId="0" borderId="0" xfId="0" applyFont="1" applyAlignment="1"/>
    <xf numFmtId="0" fontId="0" fillId="0" borderId="0" xfId="0" applyAlignment="1"/>
    <xf numFmtId="0" fontId="36" fillId="0" borderId="30" xfId="0" applyFont="1" applyBorder="1" applyAlignment="1">
      <alignment horizontal="center" vertical="top" wrapText="1"/>
    </xf>
    <xf numFmtId="0" fontId="36" fillId="0" borderId="58" xfId="0" applyFont="1" applyFill="1" applyBorder="1" applyAlignment="1">
      <alignment horizontal="left" vertical="top" wrapText="1"/>
    </xf>
    <xf numFmtId="0" fontId="36" fillId="0" borderId="0" xfId="0" applyFont="1" applyBorder="1" applyAlignment="1">
      <alignment horizontal="center" vertical="top" wrapText="1"/>
    </xf>
    <xf numFmtId="0" fontId="0" fillId="0" borderId="0" xfId="0" applyAlignment="1">
      <alignment horizontal="center" vertical="top" wrapText="1"/>
    </xf>
    <xf numFmtId="0" fontId="24" fillId="0" borderId="30" xfId="0" applyFont="1" applyFill="1" applyBorder="1" applyAlignment="1">
      <alignment horizontal="center" vertical="top" wrapText="1"/>
    </xf>
    <xf numFmtId="0" fontId="29" fillId="0" borderId="0" xfId="0" applyFont="1" applyAlignment="1">
      <alignment vertical="top" wrapText="1"/>
    </xf>
    <xf numFmtId="11" fontId="0" fillId="6" borderId="0" xfId="0" applyNumberFormat="1" applyFill="1" applyAlignment="1">
      <alignment vertical="top" wrapText="1"/>
    </xf>
    <xf numFmtId="11" fontId="40" fillId="0" borderId="0" xfId="0" applyNumberFormat="1" applyFont="1" applyAlignment="1">
      <alignment vertical="top" wrapText="1"/>
    </xf>
    <xf numFmtId="0" fontId="36" fillId="0" borderId="31" xfId="0" applyFont="1" applyBorder="1" applyAlignment="1">
      <alignment horizontal="left" vertical="top" wrapText="1"/>
    </xf>
    <xf numFmtId="11" fontId="36" fillId="0" borderId="31" xfId="0" applyNumberFormat="1" applyFont="1" applyBorder="1" applyAlignment="1">
      <alignment horizontal="left" vertical="top" wrapText="1"/>
    </xf>
    <xf numFmtId="11" fontId="24" fillId="0" borderId="31" xfId="0" applyNumberFormat="1" applyFont="1" applyFill="1" applyBorder="1" applyAlignment="1">
      <alignment horizontal="left" vertical="top" wrapText="1"/>
    </xf>
    <xf numFmtId="0" fontId="36" fillId="0" borderId="31" xfId="0" applyFont="1" applyBorder="1" applyAlignment="1">
      <alignment horizontal="center" vertical="top" wrapText="1"/>
    </xf>
    <xf numFmtId="0" fontId="24" fillId="0" borderId="31" xfId="0" applyFont="1" applyFill="1" applyBorder="1" applyAlignment="1">
      <alignment horizontal="center" vertical="top" wrapText="1"/>
    </xf>
    <xf numFmtId="11" fontId="24" fillId="0" borderId="32" xfId="0" applyNumberFormat="1" applyFont="1" applyFill="1" applyBorder="1" applyAlignment="1">
      <alignment horizontal="left" vertical="top" wrapText="1"/>
    </xf>
    <xf numFmtId="0" fontId="36" fillId="0" borderId="16" xfId="0" applyFont="1" applyBorder="1" applyAlignment="1">
      <alignment horizontal="left" vertical="top" wrapText="1"/>
    </xf>
    <xf numFmtId="0" fontId="0" fillId="0" borderId="16" xfId="0" applyBorder="1" applyAlignment="1">
      <alignment vertical="top" wrapText="1"/>
    </xf>
    <xf numFmtId="11" fontId="0" fillId="0" borderId="16" xfId="0" applyNumberFormat="1" applyBorder="1" applyAlignment="1">
      <alignment vertical="top" wrapText="1"/>
    </xf>
    <xf numFmtId="0" fontId="36" fillId="0" borderId="16" xfId="0" applyFont="1" applyBorder="1" applyAlignment="1">
      <alignment horizontal="center" vertical="top" wrapText="1"/>
    </xf>
    <xf numFmtId="0" fontId="24" fillId="0" borderId="16" xfId="0" applyFont="1" applyFill="1" applyBorder="1" applyAlignment="1">
      <alignment horizontal="center" vertical="top" wrapText="1"/>
    </xf>
    <xf numFmtId="0" fontId="13" fillId="0" borderId="0" xfId="4" applyFont="1"/>
    <xf numFmtId="0" fontId="2" fillId="0" borderId="0" xfId="5" applyFont="1"/>
    <xf numFmtId="165" fontId="2" fillId="0" borderId="0" xfId="5" applyNumberFormat="1" applyFont="1"/>
    <xf numFmtId="164" fontId="2" fillId="0" borderId="0" xfId="4" applyNumberFormat="1" applyFont="1"/>
    <xf numFmtId="0" fontId="2" fillId="0" borderId="0" xfId="4" applyFont="1"/>
    <xf numFmtId="0" fontId="2" fillId="0" borderId="0" xfId="4" applyFont="1" applyFill="1" applyBorder="1"/>
    <xf numFmtId="0" fontId="2" fillId="0" borderId="0" xfId="4" applyFont="1" applyBorder="1"/>
    <xf numFmtId="164" fontId="12" fillId="0" borderId="0" xfId="4" applyNumberFormat="1" applyFont="1" applyFill="1" applyBorder="1" applyAlignment="1">
      <alignment horizontal="right" vertical="center"/>
    </xf>
    <xf numFmtId="0" fontId="2" fillId="0" borderId="0" xfId="5" applyNumberFormat="1" applyFont="1"/>
    <xf numFmtId="2" fontId="13" fillId="0" borderId="0" xfId="4" applyNumberFormat="1" applyFont="1"/>
    <xf numFmtId="2" fontId="13" fillId="0" borderId="0" xfId="4" applyNumberFormat="1" applyFont="1" applyFill="1" applyBorder="1"/>
    <xf numFmtId="0" fontId="4" fillId="0" borderId="9" xfId="5" applyFont="1" applyBorder="1"/>
    <xf numFmtId="0" fontId="9" fillId="0" borderId="0" xfId="5" applyFont="1"/>
    <xf numFmtId="0" fontId="2" fillId="0" borderId="0" xfId="5" applyFont="1" applyFill="1"/>
    <xf numFmtId="0" fontId="15" fillId="0" borderId="0" xfId="5" applyFont="1" applyFill="1" applyAlignment="1">
      <alignment horizontal="center"/>
    </xf>
    <xf numFmtId="0" fontId="2" fillId="0" borderId="0" xfId="5" applyFont="1" applyFill="1" applyAlignment="1">
      <alignment horizontal="right"/>
    </xf>
    <xf numFmtId="0" fontId="39" fillId="0" borderId="0" xfId="0" applyFont="1" applyBorder="1" applyAlignment="1">
      <alignment horizontal="center" vertical="top" wrapText="1"/>
    </xf>
    <xf numFmtId="0" fontId="36" fillId="0" borderId="0" xfId="0" applyFont="1" applyBorder="1" applyAlignment="1">
      <alignment horizontal="left" vertical="top" wrapText="1"/>
    </xf>
    <xf numFmtId="11" fontId="24" fillId="0" borderId="0" xfId="0" applyNumberFormat="1" applyFont="1" applyFill="1" applyBorder="1" applyAlignment="1">
      <alignment horizontal="left" vertical="top" wrapText="1"/>
    </xf>
    <xf numFmtId="0" fontId="36" fillId="0" borderId="32" xfId="0" applyNumberFormat="1" applyFont="1" applyBorder="1" applyAlignment="1">
      <alignment horizontal="left" vertical="top" wrapText="1"/>
    </xf>
    <xf numFmtId="0" fontId="24" fillId="0" borderId="32" xfId="0" applyNumberFormat="1" applyFont="1" applyFill="1" applyBorder="1" applyAlignment="1">
      <alignment horizontal="left" vertical="top" wrapText="1"/>
    </xf>
    <xf numFmtId="11" fontId="0" fillId="0" borderId="0" xfId="0" applyNumberFormat="1" applyFill="1" applyAlignment="1">
      <alignment vertical="top" wrapText="1"/>
    </xf>
    <xf numFmtId="0" fontId="36" fillId="0" borderId="30" xfId="0" applyFont="1" applyFill="1" applyBorder="1" applyAlignment="1">
      <alignment horizontal="left" vertical="top" wrapText="1"/>
    </xf>
    <xf numFmtId="11" fontId="36" fillId="0" borderId="30" xfId="0" applyNumberFormat="1" applyFont="1" applyFill="1" applyBorder="1" applyAlignment="1">
      <alignment horizontal="left" vertical="top" wrapText="1"/>
    </xf>
    <xf numFmtId="0" fontId="2" fillId="0" borderId="0" xfId="2" applyFont="1" applyBorder="1" applyAlignment="1" applyProtection="1">
      <alignment vertical="top"/>
      <protection locked="0"/>
    </xf>
    <xf numFmtId="11" fontId="40" fillId="0" borderId="0" xfId="4" applyNumberFormat="1" applyFont="1" applyFill="1"/>
    <xf numFmtId="11" fontId="40" fillId="0" borderId="0" xfId="4" applyNumberFormat="1" applyFont="1" applyFill="1" applyBorder="1"/>
    <xf numFmtId="0" fontId="2" fillId="0" borderId="16" xfId="0" applyFont="1" applyFill="1" applyBorder="1" applyAlignment="1">
      <alignment vertical="top"/>
    </xf>
    <xf numFmtId="0" fontId="2" fillId="2" borderId="0" xfId="2" applyFont="1" applyFill="1" applyAlignment="1">
      <alignment horizontal="left" vertical="center"/>
    </xf>
    <xf numFmtId="0" fontId="2" fillId="2" borderId="0" xfId="2" applyFont="1" applyFill="1" applyAlignment="1"/>
    <xf numFmtId="49" fontId="13" fillId="0" borderId="16" xfId="0" applyNumberFormat="1" applyFont="1" applyBorder="1" applyProtection="1">
      <protection locked="0"/>
    </xf>
    <xf numFmtId="49" fontId="2" fillId="0" borderId="16" xfId="2" applyNumberFormat="1" applyBorder="1" applyAlignment="1" applyProtection="1">
      <alignment vertical="top" wrapText="1"/>
      <protection locked="0"/>
    </xf>
    <xf numFmtId="0" fontId="25" fillId="0" borderId="32" xfId="0" applyFont="1" applyFill="1" applyBorder="1" applyAlignment="1">
      <alignment horizontal="left" vertical="top" wrapText="1"/>
    </xf>
    <xf numFmtId="0" fontId="25" fillId="0" borderId="53" xfId="0" applyFont="1" applyFill="1" applyBorder="1" applyAlignment="1">
      <alignment horizontal="left" vertical="top" wrapText="1"/>
    </xf>
    <xf numFmtId="0" fontId="0" fillId="0" borderId="32" xfId="0" applyFill="1" applyBorder="1" applyAlignment="1">
      <alignment horizontal="center" vertical="top" wrapText="1"/>
    </xf>
    <xf numFmtId="11" fontId="13" fillId="10" borderId="16" xfId="0" applyNumberFormat="1" applyFont="1" applyFill="1" applyBorder="1" applyAlignment="1" applyProtection="1">
      <alignment vertical="top"/>
      <protection hidden="1"/>
    </xf>
    <xf numFmtId="0" fontId="29" fillId="0" borderId="0" xfId="0" applyFont="1" applyBorder="1" applyAlignment="1">
      <alignment horizontal="center" vertical="top" wrapText="1"/>
    </xf>
    <xf numFmtId="0" fontId="25" fillId="0" borderId="51" xfId="0" applyFont="1" applyFill="1" applyBorder="1" applyAlignment="1">
      <alignment horizontal="left" vertical="top" wrapText="1"/>
    </xf>
    <xf numFmtId="0" fontId="25" fillId="0" borderId="0" xfId="0" applyFont="1" applyFill="1" applyBorder="1" applyAlignment="1">
      <alignment horizontal="left" vertical="top" wrapText="1"/>
    </xf>
    <xf numFmtId="0" fontId="5" fillId="0" borderId="16" xfId="2" applyFont="1" applyFill="1" applyBorder="1" applyAlignment="1">
      <alignment horizontal="center" wrapText="1"/>
    </xf>
    <xf numFmtId="0" fontId="41" fillId="0" borderId="31" xfId="0" applyFont="1" applyFill="1" applyBorder="1" applyAlignment="1">
      <alignment vertical="top" wrapText="1"/>
    </xf>
    <xf numFmtId="0" fontId="0" fillId="0" borderId="32" xfId="0" applyFill="1" applyBorder="1" applyAlignment="1">
      <alignment vertical="top" wrapText="1"/>
    </xf>
    <xf numFmtId="11" fontId="42" fillId="0" borderId="30" xfId="0" applyNumberFormat="1" applyFont="1" applyBorder="1" applyAlignment="1">
      <alignment horizontal="left" vertical="top" wrapText="1"/>
    </xf>
    <xf numFmtId="0" fontId="0" fillId="0" borderId="0" xfId="0" applyFill="1" applyAlignment="1">
      <alignment vertical="top" wrapText="1"/>
    </xf>
    <xf numFmtId="11" fontId="42" fillId="0" borderId="56" xfId="0" applyNumberFormat="1" applyFont="1" applyBorder="1" applyAlignment="1">
      <alignment horizontal="left" vertical="top" wrapText="1"/>
    </xf>
    <xf numFmtId="11" fontId="36" fillId="0" borderId="56" xfId="0" applyNumberFormat="1" applyFont="1" applyBorder="1" applyAlignment="1">
      <alignment horizontal="left" vertical="top" wrapText="1"/>
    </xf>
    <xf numFmtId="11" fontId="42" fillId="0" borderId="58" xfId="0" applyNumberFormat="1" applyFont="1" applyFill="1" applyBorder="1" applyAlignment="1">
      <alignment horizontal="left" vertical="top" wrapText="1"/>
    </xf>
    <xf numFmtId="11" fontId="36" fillId="0" borderId="58" xfId="0" applyNumberFormat="1" applyFont="1" applyFill="1" applyBorder="1" applyAlignment="1">
      <alignment horizontal="left" vertical="top" wrapText="1"/>
    </xf>
    <xf numFmtId="11" fontId="0" fillId="0" borderId="58" xfId="0" applyNumberFormat="1" applyFill="1" applyBorder="1" applyAlignment="1">
      <alignment vertical="top" wrapText="1"/>
    </xf>
    <xf numFmtId="0" fontId="0" fillId="0" borderId="58" xfId="0" applyFill="1" applyBorder="1" applyAlignment="1">
      <alignment vertical="top" wrapText="1"/>
    </xf>
    <xf numFmtId="0" fontId="29" fillId="0" borderId="0" xfId="0" applyFont="1" applyFill="1" applyAlignment="1">
      <alignment vertical="top" wrapText="1"/>
    </xf>
    <xf numFmtId="11" fontId="40" fillId="0" borderId="0" xfId="0" applyNumberFormat="1" applyFont="1" applyFill="1" applyAlignment="1">
      <alignment vertical="top" wrapText="1"/>
    </xf>
    <xf numFmtId="11" fontId="36" fillId="0" borderId="32" xfId="0" applyNumberFormat="1" applyFont="1" applyBorder="1" applyAlignment="1">
      <alignment horizontal="left" vertical="top" wrapText="1"/>
    </xf>
    <xf numFmtId="11" fontId="13" fillId="0" borderId="16" xfId="0" applyNumberFormat="1" applyFont="1" applyBorder="1" applyProtection="1">
      <protection locked="0"/>
    </xf>
    <xf numFmtId="0" fontId="0" fillId="6" borderId="0" xfId="0" applyFill="1"/>
    <xf numFmtId="0" fontId="43" fillId="16" borderId="30" xfId="6" applyAlignment="1">
      <alignment wrapText="1"/>
    </xf>
    <xf numFmtId="168" fontId="43" fillId="16" borderId="30" xfId="6" applyNumberFormat="1" applyAlignment="1">
      <alignment wrapText="1"/>
    </xf>
    <xf numFmtId="9" fontId="0" fillId="0" borderId="0" xfId="0" applyNumberFormat="1"/>
    <xf numFmtId="0" fontId="43" fillId="16" borderId="30" xfId="6"/>
    <xf numFmtId="10" fontId="43" fillId="16" borderId="30" xfId="6" applyNumberFormat="1"/>
    <xf numFmtId="0" fontId="2" fillId="5" borderId="61" xfId="2" applyFont="1" applyFill="1" applyBorder="1" applyAlignment="1">
      <alignment horizontal="left" vertical="center" wrapText="1"/>
    </xf>
    <xf numFmtId="0" fontId="29" fillId="0" borderId="0" xfId="0" applyFont="1" applyAlignment="1">
      <alignment horizontal="center"/>
    </xf>
    <xf numFmtId="0" fontId="29" fillId="0" borderId="0" xfId="0" applyFont="1"/>
    <xf numFmtId="0" fontId="4" fillId="4" borderId="5" xfId="2" applyFont="1" applyFill="1" applyBorder="1" applyAlignment="1">
      <alignment horizontal="center" vertical="center" textRotation="90"/>
    </xf>
    <xf numFmtId="0" fontId="4" fillId="4" borderId="8" xfId="2" applyFont="1" applyFill="1" applyBorder="1" applyAlignment="1">
      <alignment horizontal="center" vertical="center" textRotation="90"/>
    </xf>
    <xf numFmtId="0" fontId="2" fillId="4" borderId="6" xfId="2" applyFont="1" applyFill="1" applyBorder="1" applyAlignment="1">
      <alignment horizontal="left" vertical="center" wrapText="1"/>
    </xf>
    <xf numFmtId="0" fontId="2" fillId="4" borderId="7" xfId="2" applyFont="1" applyFill="1" applyBorder="1" applyAlignment="1">
      <alignment horizontal="left" vertical="center" wrapText="1"/>
    </xf>
    <xf numFmtId="0" fontId="2" fillId="4" borderId="10" xfId="2" applyFont="1" applyFill="1" applyBorder="1" applyAlignment="1">
      <alignment horizontal="left" vertical="center" wrapText="1"/>
    </xf>
    <xf numFmtId="0" fontId="2" fillId="4" borderId="11" xfId="2" applyFont="1" applyFill="1" applyBorder="1" applyAlignment="1">
      <alignment horizontal="left" vertical="center" wrapText="1"/>
    </xf>
    <xf numFmtId="0" fontId="3"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2" fillId="3" borderId="2" xfId="2" applyFont="1" applyFill="1" applyBorder="1" applyAlignment="1">
      <alignment horizontal="left" vertical="center" wrapText="1"/>
    </xf>
    <xf numFmtId="0" fontId="2" fillId="3" borderId="3" xfId="2" applyFont="1" applyFill="1" applyBorder="1" applyAlignment="1">
      <alignment horizontal="left" vertical="center" wrapText="1"/>
    </xf>
    <xf numFmtId="0" fontId="2" fillId="3" borderId="4" xfId="2" applyFont="1" applyFill="1" applyBorder="1" applyAlignment="1">
      <alignment horizontal="left" vertical="center" wrapText="1"/>
    </xf>
    <xf numFmtId="0" fontId="2" fillId="2" borderId="0" xfId="2" applyFont="1" applyFill="1" applyAlignment="1">
      <alignment horizontal="left" wrapText="1"/>
    </xf>
    <xf numFmtId="0" fontId="2" fillId="2" borderId="0" xfId="2" applyFont="1" applyFill="1" applyAlignment="1">
      <alignment horizontal="left" vertical="center" wrapText="1"/>
    </xf>
    <xf numFmtId="0" fontId="4" fillId="5" borderId="8" xfId="2" applyFont="1" applyFill="1" applyBorder="1" applyAlignment="1">
      <alignment horizontal="center" vertical="center" textRotation="90"/>
    </xf>
    <xf numFmtId="0" fontId="4" fillId="5" borderId="12" xfId="2" applyFont="1" applyFill="1" applyBorder="1" applyAlignment="1">
      <alignment horizontal="center" vertical="center" textRotation="90"/>
    </xf>
    <xf numFmtId="0" fontId="2" fillId="5" borderId="10" xfId="2" applyFont="1" applyFill="1" applyBorder="1" applyAlignment="1">
      <alignment horizontal="left" vertical="center" wrapText="1"/>
    </xf>
    <xf numFmtId="0" fontId="2" fillId="5" borderId="11" xfId="2" applyFont="1" applyFill="1" applyBorder="1" applyAlignment="1">
      <alignment horizontal="left" vertical="center" wrapText="1"/>
    </xf>
    <xf numFmtId="0" fontId="2" fillId="5" borderId="14" xfId="2" applyFont="1" applyFill="1" applyBorder="1" applyAlignment="1">
      <alignment horizontal="left" vertical="center" wrapText="1"/>
    </xf>
    <xf numFmtId="0" fontId="2" fillId="5" borderId="15" xfId="2" applyFont="1" applyFill="1" applyBorder="1" applyAlignment="1">
      <alignment horizontal="left" vertical="center" wrapText="1"/>
    </xf>
    <xf numFmtId="0" fontId="2" fillId="0" borderId="1" xfId="2" applyFont="1" applyFill="1" applyBorder="1" applyAlignment="1" applyProtection="1">
      <alignment horizontal="left" vertical="top" wrapText="1"/>
      <protection locked="0"/>
    </xf>
    <xf numFmtId="0" fontId="2" fillId="0" borderId="10" xfId="2" applyFont="1" applyFill="1" applyBorder="1" applyAlignment="1" applyProtection="1">
      <alignment horizontal="left" vertical="top" wrapText="1"/>
      <protection locked="0"/>
    </xf>
    <xf numFmtId="0" fontId="2" fillId="0" borderId="17" xfId="2"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1" xfId="2" applyFont="1" applyBorder="1" applyAlignment="1" applyProtection="1">
      <alignment horizontal="left"/>
      <protection locked="0"/>
    </xf>
    <xf numFmtId="0" fontId="2" fillId="0" borderId="10" xfId="2" applyFont="1" applyBorder="1" applyAlignment="1" applyProtection="1">
      <alignment horizontal="left"/>
      <protection locked="0"/>
    </xf>
    <xf numFmtId="0" fontId="2" fillId="0" borderId="17" xfId="2" applyFont="1" applyBorder="1" applyAlignment="1" applyProtection="1">
      <alignment horizontal="left"/>
      <protection locked="0"/>
    </xf>
    <xf numFmtId="0" fontId="2" fillId="0" borderId="16" xfId="2" applyBorder="1" applyAlignment="1" applyProtection="1">
      <alignment horizontal="left"/>
      <protection locked="0"/>
    </xf>
    <xf numFmtId="0" fontId="4" fillId="3" borderId="16" xfId="2" applyFont="1" applyFill="1" applyBorder="1" applyAlignment="1">
      <alignment horizontal="left"/>
    </xf>
    <xf numFmtId="0" fontId="4" fillId="3" borderId="16" xfId="2" applyFont="1" applyFill="1" applyBorder="1" applyAlignment="1">
      <alignment horizontal="center"/>
    </xf>
    <xf numFmtId="0" fontId="8" fillId="0" borderId="2" xfId="2" applyFont="1" applyBorder="1" applyAlignment="1">
      <alignment horizontal="center"/>
    </xf>
    <xf numFmtId="0" fontId="8" fillId="0" borderId="3" xfId="2" applyFont="1" applyBorder="1" applyAlignment="1">
      <alignment horizontal="center"/>
    </xf>
    <xf numFmtId="0" fontId="8" fillId="0" borderId="4" xfId="2" applyFont="1" applyBorder="1" applyAlignment="1">
      <alignment horizontal="center"/>
    </xf>
    <xf numFmtId="0" fontId="4" fillId="3" borderId="1" xfId="2" applyFont="1" applyFill="1" applyBorder="1" applyAlignment="1">
      <alignment horizontal="left" vertical="center"/>
    </xf>
    <xf numFmtId="0" fontId="4" fillId="3" borderId="17" xfId="2" applyFont="1" applyFill="1" applyBorder="1" applyAlignment="1">
      <alignment horizontal="left" vertical="center"/>
    </xf>
    <xf numFmtId="0" fontId="2" fillId="0" borderId="16" xfId="2" applyBorder="1" applyAlignment="1" applyProtection="1">
      <alignment horizontal="center"/>
      <protection locked="0"/>
    </xf>
    <xf numFmtId="0" fontId="4" fillId="7" borderId="16" xfId="2" applyFont="1" applyFill="1" applyBorder="1" applyAlignment="1" applyProtection="1">
      <alignment horizontal="left"/>
      <protection locked="0"/>
    </xf>
    <xf numFmtId="0" fontId="4" fillId="3" borderId="1" xfId="2" applyFont="1" applyFill="1" applyBorder="1" applyAlignment="1">
      <alignment horizontal="left" vertical="top"/>
    </xf>
    <xf numFmtId="0" fontId="4"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2" fillId="0" borderId="1" xfId="2" applyBorder="1" applyAlignment="1" applyProtection="1">
      <alignment horizontal="left"/>
      <protection locked="0"/>
    </xf>
    <xf numFmtId="0" fontId="2" fillId="0" borderId="17" xfId="2" applyBorder="1" applyAlignment="1" applyProtection="1">
      <alignment horizontal="left"/>
      <protection locked="0"/>
    </xf>
    <xf numFmtId="0" fontId="4" fillId="3" borderId="1" xfId="2" applyFont="1" applyFill="1" applyBorder="1" applyAlignment="1">
      <alignment horizontal="left"/>
    </xf>
    <xf numFmtId="0" fontId="4" fillId="3" borderId="17" xfId="2" applyFont="1" applyFill="1" applyBorder="1" applyAlignment="1">
      <alignment horizontal="left"/>
    </xf>
    <xf numFmtId="0" fontId="10" fillId="8" borderId="22" xfId="0" applyFont="1" applyFill="1" applyBorder="1" applyAlignment="1">
      <alignment horizontal="left" vertical="top" wrapText="1" readingOrder="1"/>
    </xf>
    <xf numFmtId="0" fontId="10" fillId="8" borderId="0" xfId="0" applyFont="1" applyFill="1" applyBorder="1" applyAlignment="1">
      <alignment horizontal="left" vertical="top" wrapText="1" readingOrder="1"/>
    </xf>
    <xf numFmtId="0" fontId="10" fillId="8" borderId="23" xfId="0" applyFont="1" applyFill="1" applyBorder="1" applyAlignment="1">
      <alignment horizontal="left" vertical="top" wrapText="1" readingOrder="1"/>
    </xf>
    <xf numFmtId="0" fontId="2" fillId="9" borderId="16" xfId="2" applyFill="1" applyBorder="1" applyAlignment="1">
      <alignment horizontal="center" vertical="top" wrapText="1"/>
    </xf>
    <xf numFmtId="0" fontId="4" fillId="3" borderId="1" xfId="2" applyFont="1" applyFill="1" applyBorder="1" applyAlignment="1">
      <alignment horizontal="center"/>
    </xf>
    <xf numFmtId="0" fontId="4" fillId="3" borderId="10" xfId="2" applyFont="1" applyFill="1" applyBorder="1" applyAlignment="1">
      <alignment horizontal="center"/>
    </xf>
    <xf numFmtId="0" fontId="4" fillId="3" borderId="17" xfId="2" applyFont="1" applyFill="1" applyBorder="1" applyAlignment="1">
      <alignment horizontal="center"/>
    </xf>
    <xf numFmtId="0" fontId="30" fillId="0" borderId="10" xfId="0" applyFont="1" applyBorder="1" applyAlignment="1">
      <alignment horizontal="left" vertical="top" wrapText="1"/>
    </xf>
    <xf numFmtId="0" fontId="15" fillId="0" borderId="0" xfId="2" applyFont="1" applyFill="1" applyAlignment="1">
      <alignment horizontal="center"/>
    </xf>
    <xf numFmtId="0" fontId="4" fillId="0" borderId="33" xfId="2" applyFont="1" applyFill="1" applyBorder="1" applyAlignment="1">
      <alignment horizontal="center"/>
    </xf>
    <xf numFmtId="0" fontId="4" fillId="0" borderId="38" xfId="2" applyFont="1" applyFill="1" applyBorder="1" applyAlignment="1">
      <alignment horizontal="center"/>
    </xf>
    <xf numFmtId="0" fontId="29" fillId="0" borderId="5" xfId="0" applyFont="1" applyBorder="1" applyAlignment="1">
      <alignment horizontal="center"/>
    </xf>
    <xf numFmtId="0" fontId="29" fillId="0" borderId="35" xfId="0" applyFont="1" applyBorder="1" applyAlignment="1">
      <alignment horizontal="center"/>
    </xf>
    <xf numFmtId="0" fontId="29" fillId="0" borderId="36" xfId="0" applyFont="1" applyBorder="1" applyAlignment="1">
      <alignment horizontal="center"/>
    </xf>
    <xf numFmtId="0" fontId="4" fillId="0" borderId="37" xfId="2" applyFont="1" applyFill="1" applyBorder="1" applyAlignment="1">
      <alignment horizontal="center"/>
    </xf>
    <xf numFmtId="0" fontId="4" fillId="0" borderId="40" xfId="2" applyFont="1" applyFill="1" applyBorder="1" applyAlignment="1">
      <alignment horizontal="center"/>
    </xf>
    <xf numFmtId="0" fontId="30" fillId="0" borderId="42" xfId="0" applyFont="1" applyFill="1" applyBorder="1" applyAlignment="1">
      <alignment horizontal="center"/>
    </xf>
    <xf numFmtId="0" fontId="30" fillId="0" borderId="10" xfId="0" applyFont="1" applyFill="1" applyBorder="1" applyAlignment="1">
      <alignment horizontal="center"/>
    </xf>
    <xf numFmtId="0" fontId="30" fillId="0" borderId="11" xfId="0" applyFont="1" applyFill="1" applyBorder="1" applyAlignment="1">
      <alignment horizontal="center"/>
    </xf>
    <xf numFmtId="0" fontId="29" fillId="0" borderId="10" xfId="0" applyFont="1" applyBorder="1" applyAlignment="1">
      <alignment horizontal="center"/>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2" applyFont="1" applyFill="1" applyBorder="1" applyAlignment="1">
      <alignment horizontal="left" wrapText="1"/>
    </xf>
    <xf numFmtId="0" fontId="4" fillId="10" borderId="26" xfId="2" applyFont="1" applyFill="1" applyBorder="1" applyAlignment="1">
      <alignment horizontal="center" wrapText="1"/>
    </xf>
    <xf numFmtId="0" fontId="4" fillId="10" borderId="27" xfId="2" applyFont="1" applyFill="1" applyBorder="1" applyAlignment="1">
      <alignment horizontal="center" wrapText="1"/>
    </xf>
    <xf numFmtId="0" fontId="4" fillId="10" borderId="2" xfId="2" applyFont="1" applyFill="1" applyBorder="1" applyAlignment="1">
      <alignment horizontal="center"/>
    </xf>
    <xf numFmtId="0" fontId="4" fillId="10" borderId="3" xfId="2" applyFont="1" applyFill="1" applyBorder="1" applyAlignment="1">
      <alignment horizontal="center"/>
    </xf>
    <xf numFmtId="0" fontId="4" fillId="10" borderId="4" xfId="2" applyFont="1" applyFill="1" applyBorder="1" applyAlignment="1">
      <alignment horizontal="center"/>
    </xf>
    <xf numFmtId="0" fontId="4" fillId="0" borderId="26" xfId="2" applyFont="1" applyBorder="1" applyAlignment="1">
      <alignment horizontal="center" wrapText="1"/>
    </xf>
    <xf numFmtId="0" fontId="4" fillId="0" borderId="29" xfId="2" applyFont="1" applyBorder="1" applyAlignment="1">
      <alignment horizontal="center" wrapText="1"/>
    </xf>
    <xf numFmtId="0" fontId="4" fillId="0" borderId="27" xfId="2" applyFont="1" applyBorder="1" applyAlignment="1">
      <alignment horizontal="center" wrapText="1"/>
    </xf>
    <xf numFmtId="0" fontId="20" fillId="0" borderId="2" xfId="2" applyFont="1" applyBorder="1" applyAlignment="1">
      <alignment wrapText="1"/>
    </xf>
    <xf numFmtId="0" fontId="20" fillId="0" borderId="4" xfId="2" applyFont="1" applyBorder="1" applyAlignment="1">
      <alignment wrapText="1"/>
    </xf>
    <xf numFmtId="0" fontId="20" fillId="0" borderId="3" xfId="2" applyFont="1" applyBorder="1" applyAlignment="1">
      <alignment wrapText="1"/>
    </xf>
    <xf numFmtId="0" fontId="21" fillId="0" borderId="2" xfId="2" applyFont="1" applyBorder="1" applyAlignment="1">
      <alignment wrapText="1"/>
    </xf>
    <xf numFmtId="0" fontId="21" fillId="0" borderId="4" xfId="2" applyFont="1" applyBorder="1" applyAlignment="1">
      <alignment wrapText="1"/>
    </xf>
    <xf numFmtId="0" fontId="21" fillId="0" borderId="2" xfId="2" applyFont="1" applyBorder="1"/>
    <xf numFmtId="0" fontId="21" fillId="0" borderId="4" xfId="2" applyFont="1" applyBorder="1"/>
    <xf numFmtId="0" fontId="2" fillId="0" borderId="24" xfId="0" applyFont="1" applyBorder="1" applyAlignment="1">
      <alignment horizontal="left" vertical="center" wrapText="1"/>
    </xf>
    <xf numFmtId="0" fontId="2" fillId="0" borderId="9" xfId="0" applyFont="1" applyBorder="1" applyAlignment="1">
      <alignment horizontal="left" vertical="center" wrapText="1"/>
    </xf>
    <xf numFmtId="0" fontId="2"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24" xfId="0" applyFont="1" applyBorder="1" applyAlignment="1">
      <alignment horizontal="left" wrapText="1"/>
    </xf>
    <xf numFmtId="0" fontId="2" fillId="0" borderId="9" xfId="0" applyFont="1" applyBorder="1" applyAlignment="1">
      <alignment horizontal="left" wrapText="1"/>
    </xf>
    <xf numFmtId="0" fontId="2" fillId="0" borderId="22"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0" fillId="0" borderId="0" xfId="0" applyAlignment="1">
      <alignment horizontal="center"/>
    </xf>
    <xf numFmtId="0" fontId="29" fillId="0" borderId="55" xfId="0" applyFont="1" applyBorder="1" applyAlignment="1">
      <alignment horizontal="center" vertical="top" wrapText="1"/>
    </xf>
    <xf numFmtId="0" fontId="25" fillId="0" borderId="31" xfId="0" applyFont="1" applyFill="1" applyBorder="1" applyAlignment="1">
      <alignment horizontal="left" vertical="top" wrapText="1"/>
    </xf>
    <xf numFmtId="0" fontId="25" fillId="0" borderId="32" xfId="0" applyFont="1" applyFill="1" applyBorder="1" applyAlignment="1">
      <alignment horizontal="left" vertical="top" wrapText="1"/>
    </xf>
    <xf numFmtId="0" fontId="29" fillId="0" borderId="49" xfId="0" applyFont="1" applyBorder="1" applyAlignment="1">
      <alignment horizontal="center" vertical="top"/>
    </xf>
    <xf numFmtId="0" fontId="25" fillId="0" borderId="52" xfId="0" applyFont="1" applyFill="1" applyBorder="1" applyAlignment="1">
      <alignment horizontal="left" vertical="top" wrapText="1"/>
    </xf>
    <xf numFmtId="0" fontId="25" fillId="0" borderId="53" xfId="0" applyFont="1" applyFill="1" applyBorder="1" applyAlignment="1">
      <alignment horizontal="left" vertical="top" wrapText="1"/>
    </xf>
    <xf numFmtId="0" fontId="41" fillId="0" borderId="31" xfId="0" applyFont="1" applyFill="1" applyBorder="1" applyAlignment="1">
      <alignment horizontal="center" vertical="top" wrapText="1"/>
    </xf>
    <xf numFmtId="0" fontId="0" fillId="0" borderId="32" xfId="0" applyFill="1" applyBorder="1" applyAlignment="1">
      <alignment horizontal="center" vertical="top" wrapText="1"/>
    </xf>
    <xf numFmtId="0" fontId="29" fillId="0" borderId="0" xfId="0" applyFont="1" applyBorder="1" applyAlignment="1">
      <alignment horizontal="center"/>
    </xf>
    <xf numFmtId="0" fontId="29" fillId="0" borderId="0" xfId="0" applyFont="1" applyAlignment="1">
      <alignment horizontal="center"/>
    </xf>
    <xf numFmtId="0" fontId="0" fillId="0" borderId="60" xfId="0" applyBorder="1" applyAlignment="1">
      <alignment horizontal="center" vertical="top" wrapText="1"/>
    </xf>
    <xf numFmtId="0" fontId="39" fillId="0" borderId="56" xfId="0" applyFont="1" applyBorder="1" applyAlignment="1">
      <alignment horizontal="center" vertical="top" wrapText="1"/>
    </xf>
    <xf numFmtId="0" fontId="39" fillId="0" borderId="59" xfId="0" applyFont="1" applyBorder="1" applyAlignment="1">
      <alignment horizontal="center" vertical="top" wrapText="1"/>
    </xf>
    <xf numFmtId="0" fontId="39" fillId="0" borderId="57" xfId="0" applyFont="1" applyBorder="1" applyAlignment="1">
      <alignment horizontal="center" vertical="top" wrapText="1"/>
    </xf>
    <xf numFmtId="0" fontId="9" fillId="0" borderId="0" xfId="5" applyFont="1" applyAlignment="1">
      <alignment horizontal="center"/>
    </xf>
    <xf numFmtId="0" fontId="4" fillId="0" borderId="9" xfId="5"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xf numFmtId="0" fontId="1" fillId="0" borderId="9" xfId="4" applyBorder="1" applyAlignment="1">
      <alignment horizontal="left"/>
    </xf>
  </cellXfs>
  <cellStyles count="7">
    <cellStyle name="Comma" xfId="1" builtinId="3"/>
    <cellStyle name="Hyperlink" xfId="3" builtinId="8"/>
    <cellStyle name="Input" xfId="6" builtinId="20"/>
    <cellStyle name="Normal" xfId="0" builtinId="0"/>
    <cellStyle name="Normal 2" xfId="2"/>
    <cellStyle name="Normal 2 2" xfId="4"/>
    <cellStyle name="Normal 2 2 2" xfId="5"/>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40</xdr:row>
      <xdr:rowOff>38100</xdr:rowOff>
    </xdr:from>
    <xdr:to>
      <xdr:col>13</xdr:col>
      <xdr:colOff>0</xdr:colOff>
      <xdr:row>54</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209550</xdr:colOff>
          <xdr:row>16</xdr:row>
          <xdr:rowOff>257175</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11206</xdr:colOff>
      <xdr:row>222</xdr:row>
      <xdr:rowOff>56030</xdr:rowOff>
    </xdr:from>
    <xdr:to>
      <xdr:col>16</xdr:col>
      <xdr:colOff>5740444</xdr:colOff>
      <xdr:row>225</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44581" y="10485905"/>
          <a:ext cx="154066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285749</xdr:colOff>
      <xdr:row>1</xdr:row>
      <xdr:rowOff>2794</xdr:rowOff>
    </xdr:from>
    <xdr:to>
      <xdr:col>11</xdr:col>
      <xdr:colOff>510785</xdr:colOff>
      <xdr:row>23</xdr:row>
      <xdr:rowOff>110673</xdr:rowOff>
    </xdr:to>
    <xdr:grpSp>
      <xdr:nvGrpSpPr>
        <xdr:cNvPr id="54" name="Group 53">
          <a:extLst>
            <a:ext uri="{FF2B5EF4-FFF2-40B4-BE49-F238E27FC236}">
              <a16:creationId xmlns:a16="http://schemas.microsoft.com/office/drawing/2014/main" id="{00000000-0008-0000-0E00-000036000000}"/>
            </a:ext>
          </a:extLst>
        </xdr:cNvPr>
        <xdr:cNvGrpSpPr/>
      </xdr:nvGrpSpPr>
      <xdr:grpSpPr>
        <a:xfrm>
          <a:off x="285749" y="193294"/>
          <a:ext cx="6930636" cy="4298879"/>
          <a:chOff x="285749" y="193294"/>
          <a:chExt cx="6930636" cy="4298879"/>
        </a:xfrm>
      </xdr:grpSpPr>
      <xdr:grpSp>
        <xdr:nvGrpSpPr>
          <xdr:cNvPr id="2" name="Legend">
            <a:extLst>
              <a:ext uri="{FF2B5EF4-FFF2-40B4-BE49-F238E27FC236}">
                <a16:creationId xmlns:a16="http://schemas.microsoft.com/office/drawing/2014/main" id="{00000000-0008-0000-0E00-000002000000}"/>
              </a:ext>
            </a:extLst>
          </xdr:cNvPr>
          <xdr:cNvGrpSpPr/>
        </xdr:nvGrpSpPr>
        <xdr:grpSpPr>
          <a:xfrm>
            <a:off x="2290946" y="3706586"/>
            <a:ext cx="1945509" cy="785587"/>
            <a:chOff x="7457181" y="3134295"/>
            <a:chExt cx="1953912" cy="753022"/>
          </a:xfrm>
        </xdr:grpSpPr>
        <xdr:sp macro="" textlink="">
          <xdr:nvSpPr>
            <xdr:cNvPr id="3" name="LegendBox">
              <a:extLst>
                <a:ext uri="{FF2B5EF4-FFF2-40B4-BE49-F238E27FC236}">
                  <a16:creationId xmlns:a16="http://schemas.microsoft.com/office/drawing/2014/main" id="{00000000-0008-0000-0E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E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a:extLst>
              <a:ext uri="{FF2B5EF4-FFF2-40B4-BE49-F238E27FC236}">
                <a16:creationId xmlns:a16="http://schemas.microsoft.com/office/drawing/2014/main" id="{00000000-0008-0000-0E00-00000A000000}"/>
              </a:ext>
            </a:extLst>
          </xdr:cNvPr>
          <xdr:cNvSpPr/>
        </xdr:nvSpPr>
        <xdr:spPr>
          <a:xfrm>
            <a:off x="4319626" y="3581400"/>
            <a:ext cx="229437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concrete product</a:t>
            </a:r>
            <a:endParaRPr lang="en-US" sz="1000" baseline="0">
              <a:solidFill>
                <a:schemeClr val="tx1"/>
              </a:solidFill>
              <a:latin typeface="Arial" pitchFamily="34" charset="0"/>
              <a:cs typeface="Arial" pitchFamily="34" charset="0"/>
            </a:endParaRPr>
          </a:p>
        </xdr:txBody>
      </xdr:sp>
      <xdr:cxnSp macro="">
        <xdr:nvCxnSpPr>
          <xdr:cNvPr id="13" name="Straight Arrow Connector 1">
            <a:extLst>
              <a:ext uri="{FF2B5EF4-FFF2-40B4-BE49-F238E27FC236}">
                <a16:creationId xmlns:a16="http://schemas.microsoft.com/office/drawing/2014/main" id="{00000000-0008-0000-0E00-00000D000000}"/>
              </a:ext>
            </a:extLst>
          </xdr:cNvPr>
          <xdr:cNvCxnSpPr>
            <a:stCxn id="12" idx="2"/>
            <a:endCxn id="11" idx="1"/>
          </xdr:cNvCxnSpPr>
        </xdr:nvCxnSpPr>
        <xdr:spPr>
          <a:xfrm>
            <a:off x="1680721" y="541863"/>
            <a:ext cx="1874714"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Arrow Connector 2">
            <a:extLst>
              <a:ext uri="{FF2B5EF4-FFF2-40B4-BE49-F238E27FC236}">
                <a16:creationId xmlns:a16="http://schemas.microsoft.com/office/drawing/2014/main" id="{00000000-0008-0000-0E00-000010000000}"/>
              </a:ext>
            </a:extLst>
          </xdr:cNvPr>
          <xdr:cNvCxnSpPr>
            <a:stCxn id="15" idx="2"/>
            <a:endCxn id="14" idx="1"/>
          </xdr:cNvCxnSpPr>
        </xdr:nvCxnSpPr>
        <xdr:spPr>
          <a:xfrm>
            <a:off x="3174110" y="921121"/>
            <a:ext cx="381258"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19" name="Straight Arrow Connector 3">
            <a:extLst>
              <a:ext uri="{FF2B5EF4-FFF2-40B4-BE49-F238E27FC236}">
                <a16:creationId xmlns:a16="http://schemas.microsoft.com/office/drawing/2014/main" id="{00000000-0008-0000-0E00-000013000000}"/>
              </a:ext>
            </a:extLst>
          </xdr:cNvPr>
          <xdr:cNvCxnSpPr>
            <a:stCxn id="18" idx="2"/>
            <a:endCxn id="17" idx="1"/>
          </xdr:cNvCxnSpPr>
        </xdr:nvCxnSpPr>
        <xdr:spPr>
          <a:xfrm>
            <a:off x="1681029" y="1315347"/>
            <a:ext cx="1874353"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22" name="Straight Arrow Connector 4">
            <a:extLst>
              <a:ext uri="{FF2B5EF4-FFF2-40B4-BE49-F238E27FC236}">
                <a16:creationId xmlns:a16="http://schemas.microsoft.com/office/drawing/2014/main" id="{00000000-0008-0000-0E00-000016000000}"/>
              </a:ext>
            </a:extLst>
          </xdr:cNvPr>
          <xdr:cNvCxnSpPr>
            <a:stCxn id="21" idx="2"/>
            <a:endCxn id="20" idx="1"/>
          </xdr:cNvCxnSpPr>
        </xdr:nvCxnSpPr>
        <xdr:spPr>
          <a:xfrm>
            <a:off x="3174110" y="1704130"/>
            <a:ext cx="381258"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25" name="Straight Arrow Connector 5">
            <a:extLst>
              <a:ext uri="{FF2B5EF4-FFF2-40B4-BE49-F238E27FC236}">
                <a16:creationId xmlns:a16="http://schemas.microsoft.com/office/drawing/2014/main" id="{00000000-0008-0000-0E00-000019000000}"/>
              </a:ext>
            </a:extLst>
          </xdr:cNvPr>
          <xdr:cNvCxnSpPr>
            <a:stCxn id="24" idx="2"/>
            <a:endCxn id="23" idx="1"/>
          </xdr:cNvCxnSpPr>
        </xdr:nvCxnSpPr>
        <xdr:spPr>
          <a:xfrm>
            <a:off x="1681029" y="2102438"/>
            <a:ext cx="1874353"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28" name="Straight Arrow Connector 6">
            <a:extLst>
              <a:ext uri="{FF2B5EF4-FFF2-40B4-BE49-F238E27FC236}">
                <a16:creationId xmlns:a16="http://schemas.microsoft.com/office/drawing/2014/main" id="{00000000-0008-0000-0E00-00001C000000}"/>
              </a:ext>
            </a:extLst>
          </xdr:cNvPr>
          <xdr:cNvCxnSpPr>
            <a:stCxn id="27" idx="2"/>
            <a:endCxn id="26" idx="1"/>
          </xdr:cNvCxnSpPr>
        </xdr:nvCxnSpPr>
        <xdr:spPr>
          <a:xfrm>
            <a:off x="3174110" y="2487139"/>
            <a:ext cx="381258"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1" name="Straight Arrow Connector 7">
            <a:extLst>
              <a:ext uri="{FF2B5EF4-FFF2-40B4-BE49-F238E27FC236}">
                <a16:creationId xmlns:a16="http://schemas.microsoft.com/office/drawing/2014/main" id="{00000000-0008-0000-0E00-00001F000000}"/>
              </a:ext>
            </a:extLst>
          </xdr:cNvPr>
          <xdr:cNvCxnSpPr>
            <a:stCxn id="30" idx="2"/>
            <a:endCxn id="29" idx="1"/>
          </xdr:cNvCxnSpPr>
        </xdr:nvCxnSpPr>
        <xdr:spPr>
          <a:xfrm>
            <a:off x="1681029" y="2885447"/>
            <a:ext cx="1874353"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8" name="Boundary Box">
            <a:extLst>
              <a:ext uri="{FF2B5EF4-FFF2-40B4-BE49-F238E27FC236}">
                <a16:creationId xmlns:a16="http://schemas.microsoft.com/office/drawing/2014/main" id="{00000000-0008-0000-0E00-000008000000}"/>
              </a:ext>
            </a:extLst>
          </xdr:cNvPr>
          <xdr:cNvSpPr/>
        </xdr:nvSpPr>
        <xdr:spPr>
          <a:xfrm>
            <a:off x="3555484" y="304800"/>
            <a:ext cx="3660901" cy="3200400"/>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concrete_production: System Boundary</a:t>
            </a:r>
          </a:p>
        </xdr:txBody>
      </xdr:sp>
      <xdr:sp macro="" textlink="">
        <xdr:nvSpPr>
          <xdr:cNvPr id="9" name="Process">
            <a:extLst>
              <a:ext uri="{FF2B5EF4-FFF2-40B4-BE49-F238E27FC236}">
                <a16:creationId xmlns:a16="http://schemas.microsoft.com/office/drawing/2014/main" id="{00000000-0008-0000-0E00-000009000000}"/>
              </a:ext>
            </a:extLst>
          </xdr:cNvPr>
          <xdr:cNvSpPr/>
        </xdr:nvSpPr>
        <xdr:spPr>
          <a:xfrm>
            <a:off x="4317591" y="1066800"/>
            <a:ext cx="2289525"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Input and output flows for producing various concrete products </a:t>
            </a:r>
          </a:p>
        </xdr:txBody>
      </xdr:sp>
      <xdr:grpSp>
        <xdr:nvGrpSpPr>
          <xdr:cNvPr id="45" name="Group 44">
            <a:extLst>
              <a:ext uri="{FF2B5EF4-FFF2-40B4-BE49-F238E27FC236}">
                <a16:creationId xmlns:a16="http://schemas.microsoft.com/office/drawing/2014/main" id="{00000000-0008-0000-0E00-00002D000000}"/>
              </a:ext>
            </a:extLst>
          </xdr:cNvPr>
          <xdr:cNvGrpSpPr/>
        </xdr:nvGrpSpPr>
        <xdr:grpSpPr>
          <a:xfrm>
            <a:off x="285749" y="193294"/>
            <a:ext cx="3282437" cy="697138"/>
            <a:chOff x="285749" y="193294"/>
            <a:chExt cx="3283008" cy="697138"/>
          </a:xfrm>
        </xdr:grpSpPr>
        <xdr:sp macro="" textlink="">
          <xdr:nvSpPr>
            <xdr:cNvPr id="12" name="Upstream Emssion Data 1">
              <a:extLst>
                <a:ext uri="{FF2B5EF4-FFF2-40B4-BE49-F238E27FC236}">
                  <a16:creationId xmlns:a16="http://schemas.microsoft.com/office/drawing/2014/main" id="{00000000-0008-0000-0E00-00000C000000}"/>
                </a:ext>
              </a:extLst>
            </xdr:cNvPr>
            <xdr:cNvSpPr/>
          </xdr:nvSpPr>
          <xdr:spPr>
            <a:xfrm>
              <a:off x="285749" y="193294"/>
              <a:ext cx="157597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coal</a:t>
              </a:r>
            </a:p>
          </xdr:txBody>
        </xdr:sp>
        <xdr:sp macro="" textlink="">
          <xdr:nvSpPr>
            <xdr:cNvPr id="11" name="Link 1">
              <a:extLst>
                <a:ext uri="{FF2B5EF4-FFF2-40B4-BE49-F238E27FC236}">
                  <a16:creationId xmlns:a16="http://schemas.microsoft.com/office/drawing/2014/main" id="{00000000-0008-0000-0E00-00000B000000}"/>
                </a:ext>
              </a:extLst>
            </xdr:cNvPr>
            <xdr:cNvSpPr/>
          </xdr:nvSpPr>
          <xdr:spPr>
            <a:xfrm>
              <a:off x="3555951" y="365841"/>
              <a:ext cx="12806" cy="35204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46" name="Group 45">
            <a:extLst>
              <a:ext uri="{FF2B5EF4-FFF2-40B4-BE49-F238E27FC236}">
                <a16:creationId xmlns:a16="http://schemas.microsoft.com/office/drawing/2014/main" id="{00000000-0008-0000-0E00-00002E000000}"/>
              </a:ext>
            </a:extLst>
          </xdr:cNvPr>
          <xdr:cNvGrpSpPr/>
        </xdr:nvGrpSpPr>
        <xdr:grpSpPr>
          <a:xfrm>
            <a:off x="1777002" y="572552"/>
            <a:ext cx="1791184" cy="697138"/>
            <a:chOff x="1778000" y="572552"/>
            <a:chExt cx="1790757" cy="697138"/>
          </a:xfrm>
        </xdr:grpSpPr>
        <xdr:sp macro="" textlink="">
          <xdr:nvSpPr>
            <xdr:cNvPr id="15" name="Upstream Emssion Data 2">
              <a:extLst>
                <a:ext uri="{FF2B5EF4-FFF2-40B4-BE49-F238E27FC236}">
                  <a16:creationId xmlns:a16="http://schemas.microsoft.com/office/drawing/2014/main" id="{00000000-0008-0000-0E00-00000F000000}"/>
                </a:ext>
              </a:extLst>
            </xdr:cNvPr>
            <xdr:cNvSpPr/>
          </xdr:nvSpPr>
          <xdr:spPr>
            <a:xfrm>
              <a:off x="1778000" y="572552"/>
              <a:ext cx="1577155"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gasoline</a:t>
              </a:r>
            </a:p>
          </xdr:txBody>
        </xdr:sp>
        <xdr:sp macro="" textlink="">
          <xdr:nvSpPr>
            <xdr:cNvPr id="14" name="Link 2">
              <a:extLst>
                <a:ext uri="{FF2B5EF4-FFF2-40B4-BE49-F238E27FC236}">
                  <a16:creationId xmlns:a16="http://schemas.microsoft.com/office/drawing/2014/main" id="{00000000-0008-0000-0E00-00000E000000}"/>
                </a:ext>
              </a:extLst>
            </xdr:cNvPr>
            <xdr:cNvSpPr/>
          </xdr:nvSpPr>
          <xdr:spPr>
            <a:xfrm>
              <a:off x="3555942" y="745099"/>
              <a:ext cx="12815" cy="35204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47" name="Group 46">
            <a:extLst>
              <a:ext uri="{FF2B5EF4-FFF2-40B4-BE49-F238E27FC236}">
                <a16:creationId xmlns:a16="http://schemas.microsoft.com/office/drawing/2014/main" id="{00000000-0008-0000-0E00-00002F000000}"/>
              </a:ext>
            </a:extLst>
          </xdr:cNvPr>
          <xdr:cNvGrpSpPr/>
        </xdr:nvGrpSpPr>
        <xdr:grpSpPr>
          <a:xfrm>
            <a:off x="285749" y="966778"/>
            <a:ext cx="3282437" cy="697138"/>
            <a:chOff x="285749" y="938203"/>
            <a:chExt cx="3283008" cy="697138"/>
          </a:xfrm>
        </xdr:grpSpPr>
        <xdr:sp macro="" textlink="">
          <xdr:nvSpPr>
            <xdr:cNvPr id="18" name="Upstream Emssion Data 3">
              <a:extLst>
                <a:ext uri="{FF2B5EF4-FFF2-40B4-BE49-F238E27FC236}">
                  <a16:creationId xmlns:a16="http://schemas.microsoft.com/office/drawing/2014/main" id="{00000000-0008-0000-0E00-000012000000}"/>
                </a:ext>
              </a:extLst>
            </xdr:cNvPr>
            <xdr:cNvSpPr/>
          </xdr:nvSpPr>
          <xdr:spPr>
            <a:xfrm>
              <a:off x="285749" y="938203"/>
              <a:ext cx="157597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liquified petroleum gas</a:t>
              </a:r>
            </a:p>
          </xdr:txBody>
        </xdr:sp>
        <xdr:sp macro="" textlink="">
          <xdr:nvSpPr>
            <xdr:cNvPr id="17" name="Link 3">
              <a:extLst>
                <a:ext uri="{FF2B5EF4-FFF2-40B4-BE49-F238E27FC236}">
                  <a16:creationId xmlns:a16="http://schemas.microsoft.com/office/drawing/2014/main" id="{00000000-0008-0000-0E00-000011000000}"/>
                </a:ext>
              </a:extLst>
            </xdr:cNvPr>
            <xdr:cNvSpPr/>
          </xdr:nvSpPr>
          <xdr:spPr>
            <a:xfrm>
              <a:off x="3555951" y="1110750"/>
              <a:ext cx="12806" cy="35204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48" name="Group 47">
            <a:extLst>
              <a:ext uri="{FF2B5EF4-FFF2-40B4-BE49-F238E27FC236}">
                <a16:creationId xmlns:a16="http://schemas.microsoft.com/office/drawing/2014/main" id="{00000000-0008-0000-0E00-000030000000}"/>
              </a:ext>
            </a:extLst>
          </xdr:cNvPr>
          <xdr:cNvGrpSpPr/>
        </xdr:nvGrpSpPr>
        <xdr:grpSpPr>
          <a:xfrm>
            <a:off x="1777002" y="1355561"/>
            <a:ext cx="1791184" cy="697138"/>
            <a:chOff x="1778000" y="1317461"/>
            <a:chExt cx="1790757" cy="697138"/>
          </a:xfrm>
        </xdr:grpSpPr>
        <xdr:sp macro="" textlink="">
          <xdr:nvSpPr>
            <xdr:cNvPr id="21" name="Upstream Emssion Data 4">
              <a:extLst>
                <a:ext uri="{FF2B5EF4-FFF2-40B4-BE49-F238E27FC236}">
                  <a16:creationId xmlns:a16="http://schemas.microsoft.com/office/drawing/2014/main" id="{00000000-0008-0000-0E00-000015000000}"/>
                </a:ext>
              </a:extLst>
            </xdr:cNvPr>
            <xdr:cNvSpPr/>
          </xdr:nvSpPr>
          <xdr:spPr>
            <a:xfrm>
              <a:off x="1778000" y="1317461"/>
              <a:ext cx="1577155"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middle distillates</a:t>
              </a:r>
            </a:p>
          </xdr:txBody>
        </xdr:sp>
        <xdr:sp macro="" textlink="">
          <xdr:nvSpPr>
            <xdr:cNvPr id="20" name="Link 4">
              <a:extLst>
                <a:ext uri="{FF2B5EF4-FFF2-40B4-BE49-F238E27FC236}">
                  <a16:creationId xmlns:a16="http://schemas.microsoft.com/office/drawing/2014/main" id="{00000000-0008-0000-0E00-000014000000}"/>
                </a:ext>
              </a:extLst>
            </xdr:cNvPr>
            <xdr:cNvSpPr/>
          </xdr:nvSpPr>
          <xdr:spPr>
            <a:xfrm>
              <a:off x="3555942" y="1490008"/>
              <a:ext cx="12815" cy="35204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49" name="Group 48">
            <a:extLst>
              <a:ext uri="{FF2B5EF4-FFF2-40B4-BE49-F238E27FC236}">
                <a16:creationId xmlns:a16="http://schemas.microsoft.com/office/drawing/2014/main" id="{00000000-0008-0000-0E00-000031000000}"/>
              </a:ext>
            </a:extLst>
          </xdr:cNvPr>
          <xdr:cNvGrpSpPr/>
        </xdr:nvGrpSpPr>
        <xdr:grpSpPr>
          <a:xfrm>
            <a:off x="285749" y="1753869"/>
            <a:ext cx="3282437" cy="697138"/>
            <a:chOff x="285749" y="1696719"/>
            <a:chExt cx="3283008" cy="697138"/>
          </a:xfrm>
        </xdr:grpSpPr>
        <xdr:sp macro="" textlink="">
          <xdr:nvSpPr>
            <xdr:cNvPr id="24" name="Upstream Emssion Data 5">
              <a:extLst>
                <a:ext uri="{FF2B5EF4-FFF2-40B4-BE49-F238E27FC236}">
                  <a16:creationId xmlns:a16="http://schemas.microsoft.com/office/drawing/2014/main" id="{00000000-0008-0000-0E00-000018000000}"/>
                </a:ext>
              </a:extLst>
            </xdr:cNvPr>
            <xdr:cNvSpPr/>
          </xdr:nvSpPr>
          <xdr:spPr>
            <a:xfrm>
              <a:off x="285749" y="1696719"/>
              <a:ext cx="157597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natural gas</a:t>
              </a:r>
            </a:p>
          </xdr:txBody>
        </xdr:sp>
        <xdr:sp macro="" textlink="">
          <xdr:nvSpPr>
            <xdr:cNvPr id="23" name="Link 5">
              <a:extLst>
                <a:ext uri="{FF2B5EF4-FFF2-40B4-BE49-F238E27FC236}">
                  <a16:creationId xmlns:a16="http://schemas.microsoft.com/office/drawing/2014/main" id="{00000000-0008-0000-0E00-000017000000}"/>
                </a:ext>
              </a:extLst>
            </xdr:cNvPr>
            <xdr:cNvSpPr/>
          </xdr:nvSpPr>
          <xdr:spPr>
            <a:xfrm>
              <a:off x="3555951" y="1869266"/>
              <a:ext cx="12806" cy="35204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50" name="Group 49">
            <a:extLst>
              <a:ext uri="{FF2B5EF4-FFF2-40B4-BE49-F238E27FC236}">
                <a16:creationId xmlns:a16="http://schemas.microsoft.com/office/drawing/2014/main" id="{00000000-0008-0000-0E00-000032000000}"/>
              </a:ext>
            </a:extLst>
          </xdr:cNvPr>
          <xdr:cNvGrpSpPr/>
        </xdr:nvGrpSpPr>
        <xdr:grpSpPr>
          <a:xfrm>
            <a:off x="1777002" y="2138570"/>
            <a:ext cx="1791184" cy="697138"/>
            <a:chOff x="1778000" y="2062370"/>
            <a:chExt cx="1790757" cy="697138"/>
          </a:xfrm>
        </xdr:grpSpPr>
        <xdr:sp macro="" textlink="">
          <xdr:nvSpPr>
            <xdr:cNvPr id="27" name="Upstream Emssion Data 6">
              <a:extLst>
                <a:ext uri="{FF2B5EF4-FFF2-40B4-BE49-F238E27FC236}">
                  <a16:creationId xmlns:a16="http://schemas.microsoft.com/office/drawing/2014/main" id="{00000000-0008-0000-0E00-00001B000000}"/>
                </a:ext>
              </a:extLst>
            </xdr:cNvPr>
            <xdr:cNvSpPr/>
          </xdr:nvSpPr>
          <xdr:spPr>
            <a:xfrm>
              <a:off x="1778000" y="2062370"/>
              <a:ext cx="1577155"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petroleum coke</a:t>
              </a:r>
            </a:p>
          </xdr:txBody>
        </xdr:sp>
        <xdr:sp macro="" textlink="">
          <xdr:nvSpPr>
            <xdr:cNvPr id="26" name="Link 6">
              <a:extLst>
                <a:ext uri="{FF2B5EF4-FFF2-40B4-BE49-F238E27FC236}">
                  <a16:creationId xmlns:a16="http://schemas.microsoft.com/office/drawing/2014/main" id="{00000000-0008-0000-0E00-00001A000000}"/>
                </a:ext>
              </a:extLst>
            </xdr:cNvPr>
            <xdr:cNvSpPr/>
          </xdr:nvSpPr>
          <xdr:spPr>
            <a:xfrm>
              <a:off x="3555942" y="2234917"/>
              <a:ext cx="12815" cy="35204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nvGrpSpPr>
          <xdr:cNvPr id="51" name="Group 50">
            <a:extLst>
              <a:ext uri="{FF2B5EF4-FFF2-40B4-BE49-F238E27FC236}">
                <a16:creationId xmlns:a16="http://schemas.microsoft.com/office/drawing/2014/main" id="{00000000-0008-0000-0E00-000033000000}"/>
              </a:ext>
            </a:extLst>
          </xdr:cNvPr>
          <xdr:cNvGrpSpPr/>
        </xdr:nvGrpSpPr>
        <xdr:grpSpPr>
          <a:xfrm>
            <a:off x="285749" y="2536878"/>
            <a:ext cx="3282437" cy="697138"/>
            <a:chOff x="285749" y="2441628"/>
            <a:chExt cx="3283008" cy="697138"/>
          </a:xfrm>
        </xdr:grpSpPr>
        <xdr:sp macro="" textlink="">
          <xdr:nvSpPr>
            <xdr:cNvPr id="30" name="Upstream Emssion Data 7">
              <a:extLst>
                <a:ext uri="{FF2B5EF4-FFF2-40B4-BE49-F238E27FC236}">
                  <a16:creationId xmlns:a16="http://schemas.microsoft.com/office/drawing/2014/main" id="{00000000-0008-0000-0E00-00001E000000}"/>
                </a:ext>
              </a:extLst>
            </xdr:cNvPr>
            <xdr:cNvSpPr/>
          </xdr:nvSpPr>
          <xdr:spPr>
            <a:xfrm>
              <a:off x="285749" y="2441628"/>
              <a:ext cx="157597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residual oil</a:t>
              </a:r>
            </a:p>
          </xdr:txBody>
        </xdr:sp>
        <xdr:sp macro="" textlink="">
          <xdr:nvSpPr>
            <xdr:cNvPr id="29" name="Link 7">
              <a:extLst>
                <a:ext uri="{FF2B5EF4-FFF2-40B4-BE49-F238E27FC236}">
                  <a16:creationId xmlns:a16="http://schemas.microsoft.com/office/drawing/2014/main" id="{00000000-0008-0000-0E00-00001D000000}"/>
                </a:ext>
              </a:extLst>
            </xdr:cNvPr>
            <xdr:cNvSpPr/>
          </xdr:nvSpPr>
          <xdr:spPr>
            <a:xfrm>
              <a:off x="3555951" y="2614175"/>
              <a:ext cx="12806" cy="35204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52" name="Group 51">
            <a:extLst>
              <a:ext uri="{FF2B5EF4-FFF2-40B4-BE49-F238E27FC236}">
                <a16:creationId xmlns:a16="http://schemas.microsoft.com/office/drawing/2014/main" id="{00000000-0008-0000-0E00-000034000000}"/>
              </a:ext>
            </a:extLst>
          </xdr:cNvPr>
          <xdr:cNvGrpSpPr/>
        </xdr:nvGrpSpPr>
        <xdr:grpSpPr>
          <a:xfrm>
            <a:off x="1777002" y="2925661"/>
            <a:ext cx="1791184" cy="697138"/>
            <a:chOff x="1778000" y="2820886"/>
            <a:chExt cx="1790757" cy="697138"/>
          </a:xfrm>
        </xdr:grpSpPr>
        <xdr:sp macro="" textlink="">
          <xdr:nvSpPr>
            <xdr:cNvPr id="32" name="Link 8">
              <a:extLst>
                <a:ext uri="{FF2B5EF4-FFF2-40B4-BE49-F238E27FC236}">
                  <a16:creationId xmlns:a16="http://schemas.microsoft.com/office/drawing/2014/main" id="{00000000-0008-0000-0E00-000020000000}"/>
                </a:ext>
              </a:extLst>
            </xdr:cNvPr>
            <xdr:cNvSpPr/>
          </xdr:nvSpPr>
          <xdr:spPr>
            <a:xfrm>
              <a:off x="3555942" y="2993433"/>
              <a:ext cx="12815" cy="352044"/>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33" name="Upstream Emssion Data 8">
              <a:extLst>
                <a:ext uri="{FF2B5EF4-FFF2-40B4-BE49-F238E27FC236}">
                  <a16:creationId xmlns:a16="http://schemas.microsoft.com/office/drawing/2014/main" id="{00000000-0008-0000-0E00-000021000000}"/>
                </a:ext>
              </a:extLst>
            </xdr:cNvPr>
            <xdr:cNvSpPr/>
          </xdr:nvSpPr>
          <xdr:spPr>
            <a:xfrm>
              <a:off x="1778000" y="2820886"/>
              <a:ext cx="1577155"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electricity</a:t>
              </a:r>
            </a:p>
          </xdr:txBody>
        </xdr:sp>
      </xdr:grpSp>
      <xdr:cxnSp macro="">
        <xdr:nvCxnSpPr>
          <xdr:cNvPr id="34" name="Straight Arrow Connector 8">
            <a:extLst>
              <a:ext uri="{FF2B5EF4-FFF2-40B4-BE49-F238E27FC236}">
                <a16:creationId xmlns:a16="http://schemas.microsoft.com/office/drawing/2014/main" id="{00000000-0008-0000-0E00-000022000000}"/>
              </a:ext>
            </a:extLst>
          </xdr:cNvPr>
          <xdr:cNvCxnSpPr>
            <a:stCxn id="33" idx="2"/>
            <a:endCxn id="32" idx="1"/>
          </xdr:cNvCxnSpPr>
        </xdr:nvCxnSpPr>
        <xdr:spPr>
          <a:xfrm>
            <a:off x="3174110" y="3274230"/>
            <a:ext cx="381258"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Arrow Connector Process">
            <a:extLst>
              <a:ext uri="{FF2B5EF4-FFF2-40B4-BE49-F238E27FC236}">
                <a16:creationId xmlns:a16="http://schemas.microsoft.com/office/drawing/2014/main" id="{00000000-0008-0000-0E00-000024000000}"/>
              </a:ext>
            </a:extLst>
          </xdr:cNvPr>
          <xdr:cNvCxnSpPr>
            <a:stCxn id="9" idx="2"/>
            <a:endCxn id="10" idx="0"/>
          </xdr:cNvCxnSpPr>
        </xdr:nvCxnSpPr>
        <xdr:spPr>
          <a:xfrm>
            <a:off x="5462354" y="2748094"/>
            <a:ext cx="4461" cy="8333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engineeringtoolbox.com/fuels-densities-specific-volumes-d_166.html" TargetMode="External"/><Relationship Id="rId1" Type="http://schemas.openxmlformats.org/officeDocument/2006/relationships/hyperlink" Target="http://www.sciencedirect.com/science/article/pii/S0959652611000886"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14"/>
  <sheetViews>
    <sheetView zoomScaleNormal="100" workbookViewId="0">
      <selection activeCell="D6" sqref="D6:M6"/>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73" t="s">
        <v>0</v>
      </c>
      <c r="B1" s="373"/>
      <c r="C1" s="373"/>
      <c r="D1" s="373"/>
      <c r="E1" s="373"/>
      <c r="F1" s="373"/>
      <c r="G1" s="373"/>
      <c r="H1" s="373"/>
      <c r="I1" s="373"/>
      <c r="J1" s="373"/>
      <c r="K1" s="373"/>
      <c r="L1" s="373"/>
      <c r="M1" s="373"/>
      <c r="N1" s="373"/>
      <c r="O1" s="1"/>
    </row>
    <row r="2" spans="1:27" ht="21" thickBot="1" x14ac:dyDescent="0.35">
      <c r="A2" s="373" t="s">
        <v>1</v>
      </c>
      <c r="B2" s="373"/>
      <c r="C2" s="373"/>
      <c r="D2" s="373"/>
      <c r="E2" s="373"/>
      <c r="F2" s="373"/>
      <c r="G2" s="373"/>
      <c r="H2" s="373"/>
      <c r="I2" s="373"/>
      <c r="J2" s="373"/>
      <c r="K2" s="373"/>
      <c r="L2" s="373"/>
      <c r="M2" s="373"/>
      <c r="N2" s="373"/>
      <c r="O2" s="1"/>
    </row>
    <row r="3" spans="1:27" ht="12.75" customHeight="1" thickBot="1" x14ac:dyDescent="0.25">
      <c r="B3" s="2"/>
      <c r="C3" s="4" t="s">
        <v>2</v>
      </c>
      <c r="D3" s="5" t="str">
        <f>'Data Summary'!D4</f>
        <v>concrete_production</v>
      </c>
      <c r="E3" s="6"/>
      <c r="F3" s="6"/>
      <c r="G3" s="6"/>
      <c r="H3" s="6"/>
      <c r="I3" s="6"/>
      <c r="J3" s="6"/>
      <c r="K3" s="6"/>
      <c r="L3" s="6"/>
      <c r="M3" s="7"/>
      <c r="N3" s="2"/>
      <c r="O3" s="2"/>
    </row>
    <row r="4" spans="1:27" ht="42.75" customHeight="1" thickBot="1" x14ac:dyDescent="0.25">
      <c r="B4" s="2"/>
      <c r="C4" s="4" t="s">
        <v>3</v>
      </c>
      <c r="D4" s="374" t="str">
        <f>'Data Summary'!D6</f>
        <v xml:space="preserve">Input and output flows for producing 1 m3 precast concrete from a precast concrete plant. </v>
      </c>
      <c r="E4" s="375"/>
      <c r="F4" s="375"/>
      <c r="G4" s="375"/>
      <c r="H4" s="375"/>
      <c r="I4" s="375"/>
      <c r="J4" s="375"/>
      <c r="K4" s="375"/>
      <c r="L4" s="375"/>
      <c r="M4" s="376"/>
      <c r="N4" s="2"/>
      <c r="O4" s="2"/>
    </row>
    <row r="5" spans="1:27" ht="39" customHeight="1" thickBot="1" x14ac:dyDescent="0.25">
      <c r="B5" s="2"/>
      <c r="C5" s="4" t="s">
        <v>4</v>
      </c>
      <c r="D5" s="377" t="s">
        <v>1067</v>
      </c>
      <c r="E5" s="378"/>
      <c r="F5" s="378"/>
      <c r="G5" s="378"/>
      <c r="H5" s="378"/>
      <c r="I5" s="378"/>
      <c r="J5" s="378"/>
      <c r="K5" s="378"/>
      <c r="L5" s="378"/>
      <c r="M5" s="379"/>
      <c r="N5" s="2"/>
      <c r="O5" s="2"/>
    </row>
    <row r="6" spans="1:27" ht="56.25" customHeight="1" thickBot="1" x14ac:dyDescent="0.25">
      <c r="B6" s="2"/>
      <c r="C6" s="8" t="s">
        <v>5</v>
      </c>
      <c r="D6" s="377" t="s">
        <v>6</v>
      </c>
      <c r="E6" s="378"/>
      <c r="F6" s="378"/>
      <c r="G6" s="378"/>
      <c r="H6" s="378"/>
      <c r="I6" s="378"/>
      <c r="J6" s="378"/>
      <c r="K6" s="378"/>
      <c r="L6" s="378"/>
      <c r="M6" s="379"/>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67" t="s">
        <v>10</v>
      </c>
      <c r="C9" s="10" t="s">
        <v>11</v>
      </c>
      <c r="D9" s="369" t="s">
        <v>12</v>
      </c>
      <c r="E9" s="369"/>
      <c r="F9" s="369"/>
      <c r="G9" s="369"/>
      <c r="H9" s="369"/>
      <c r="I9" s="369"/>
      <c r="J9" s="369"/>
      <c r="K9" s="369"/>
      <c r="L9" s="369"/>
      <c r="M9" s="370"/>
      <c r="N9" s="2"/>
      <c r="O9" s="2"/>
      <c r="P9" s="2"/>
      <c r="Q9" s="2"/>
      <c r="R9" s="2"/>
      <c r="S9" s="2"/>
      <c r="T9" s="2"/>
      <c r="U9" s="2"/>
      <c r="V9" s="2"/>
      <c r="W9" s="2"/>
      <c r="X9" s="2"/>
      <c r="Y9" s="2"/>
      <c r="Z9" s="2"/>
      <c r="AA9" s="2"/>
    </row>
    <row r="10" spans="1:27" s="11" customFormat="1" ht="15" customHeight="1" x14ac:dyDescent="0.2">
      <c r="A10" s="2"/>
      <c r="B10" s="368"/>
      <c r="C10" s="12" t="s">
        <v>13</v>
      </c>
      <c r="D10" s="371" t="s">
        <v>14</v>
      </c>
      <c r="E10" s="371"/>
      <c r="F10" s="371"/>
      <c r="G10" s="371"/>
      <c r="H10" s="371"/>
      <c r="I10" s="371"/>
      <c r="J10" s="371"/>
      <c r="K10" s="371"/>
      <c r="L10" s="371"/>
      <c r="M10" s="372"/>
      <c r="N10" s="2"/>
      <c r="O10" s="2"/>
      <c r="P10" s="2"/>
      <c r="Q10" s="2"/>
      <c r="R10" s="2"/>
      <c r="S10" s="2"/>
      <c r="T10" s="2"/>
      <c r="U10" s="2"/>
      <c r="V10" s="2"/>
      <c r="W10" s="2"/>
      <c r="X10" s="2"/>
      <c r="Y10" s="2"/>
      <c r="Z10" s="2"/>
      <c r="AA10" s="2"/>
    </row>
    <row r="11" spans="1:27" s="11" customFormat="1" ht="15" customHeight="1" x14ac:dyDescent="0.2">
      <c r="A11" s="2"/>
      <c r="B11" s="368"/>
      <c r="C11" s="12" t="s">
        <v>15</v>
      </c>
      <c r="D11" s="371" t="s">
        <v>16</v>
      </c>
      <c r="E11" s="371"/>
      <c r="F11" s="371"/>
      <c r="G11" s="371"/>
      <c r="H11" s="371"/>
      <c r="I11" s="371"/>
      <c r="J11" s="371"/>
      <c r="K11" s="371"/>
      <c r="L11" s="371"/>
      <c r="M11" s="372"/>
      <c r="N11" s="2"/>
      <c r="O11" s="2"/>
      <c r="P11" s="2"/>
      <c r="Q11" s="2"/>
      <c r="R11" s="2"/>
      <c r="S11" s="2"/>
      <c r="T11" s="2"/>
      <c r="U11" s="2"/>
      <c r="V11" s="2"/>
      <c r="W11" s="2"/>
      <c r="X11" s="2"/>
      <c r="Y11" s="2"/>
      <c r="Z11" s="2"/>
      <c r="AA11" s="2"/>
    </row>
    <row r="12" spans="1:27" s="11" customFormat="1" ht="15" customHeight="1" x14ac:dyDescent="0.2">
      <c r="A12" s="2"/>
      <c r="B12" s="368"/>
      <c r="C12" s="12" t="s">
        <v>17</v>
      </c>
      <c r="D12" s="371" t="s">
        <v>18</v>
      </c>
      <c r="E12" s="371"/>
      <c r="F12" s="371"/>
      <c r="G12" s="371"/>
      <c r="H12" s="371"/>
      <c r="I12" s="371"/>
      <c r="J12" s="371"/>
      <c r="K12" s="371"/>
      <c r="L12" s="371"/>
      <c r="M12" s="372"/>
      <c r="N12" s="2"/>
      <c r="O12" s="2"/>
      <c r="P12" s="2"/>
      <c r="Q12" s="2"/>
      <c r="R12" s="2"/>
      <c r="S12" s="2"/>
      <c r="T12" s="2"/>
      <c r="U12" s="2"/>
      <c r="V12" s="2"/>
      <c r="W12" s="2"/>
      <c r="X12" s="2"/>
      <c r="Y12" s="2"/>
      <c r="Z12" s="2"/>
      <c r="AA12" s="2"/>
    </row>
    <row r="13" spans="1:27" ht="15" customHeight="1" x14ac:dyDescent="0.2">
      <c r="B13" s="382" t="s">
        <v>19</v>
      </c>
      <c r="C13" s="13" t="s">
        <v>819</v>
      </c>
      <c r="D13" s="384" t="s">
        <v>820</v>
      </c>
      <c r="E13" s="384"/>
      <c r="F13" s="384"/>
      <c r="G13" s="384"/>
      <c r="H13" s="384"/>
      <c r="I13" s="384"/>
      <c r="J13" s="384"/>
      <c r="K13" s="384"/>
      <c r="L13" s="384"/>
      <c r="M13" s="385"/>
      <c r="N13" s="2"/>
      <c r="O13" s="2"/>
    </row>
    <row r="14" spans="1:27" ht="15" customHeight="1" x14ac:dyDescent="0.2">
      <c r="B14" s="382"/>
      <c r="C14" s="13" t="s">
        <v>821</v>
      </c>
      <c r="D14" s="384" t="s">
        <v>822</v>
      </c>
      <c r="E14" s="384"/>
      <c r="F14" s="384"/>
      <c r="G14" s="384"/>
      <c r="H14" s="384"/>
      <c r="I14" s="384"/>
      <c r="J14" s="384"/>
      <c r="K14" s="384"/>
      <c r="L14" s="384"/>
      <c r="M14" s="385"/>
      <c r="N14" s="2"/>
      <c r="O14" s="2"/>
    </row>
    <row r="15" spans="1:27" ht="15" customHeight="1" x14ac:dyDescent="0.2">
      <c r="B15" s="382"/>
      <c r="C15" s="13" t="s">
        <v>823</v>
      </c>
      <c r="D15" s="384" t="s">
        <v>824</v>
      </c>
      <c r="E15" s="384"/>
      <c r="F15" s="384"/>
      <c r="G15" s="384"/>
      <c r="H15" s="384"/>
      <c r="I15" s="384"/>
      <c r="J15" s="384"/>
      <c r="K15" s="384"/>
      <c r="L15" s="384"/>
      <c r="M15" s="385"/>
      <c r="N15" s="2"/>
      <c r="O15" s="2"/>
    </row>
    <row r="16" spans="1:27" ht="15" customHeight="1" x14ac:dyDescent="0.2">
      <c r="B16" s="382"/>
      <c r="C16" s="13" t="s">
        <v>825</v>
      </c>
      <c r="D16" s="384" t="s">
        <v>827</v>
      </c>
      <c r="E16" s="384"/>
      <c r="F16" s="384"/>
      <c r="G16" s="384"/>
      <c r="H16" s="384"/>
      <c r="I16" s="384"/>
      <c r="J16" s="384"/>
      <c r="K16" s="384"/>
      <c r="L16" s="384"/>
      <c r="M16" s="385"/>
      <c r="N16" s="2"/>
      <c r="O16" s="2"/>
    </row>
    <row r="17" spans="2:16" ht="15" customHeight="1" x14ac:dyDescent="0.2">
      <c r="B17" s="382"/>
      <c r="C17" s="13" t="s">
        <v>826</v>
      </c>
      <c r="D17" s="384" t="s">
        <v>828</v>
      </c>
      <c r="E17" s="384"/>
      <c r="F17" s="384"/>
      <c r="G17" s="384"/>
      <c r="H17" s="384"/>
      <c r="I17" s="384"/>
      <c r="J17" s="384"/>
      <c r="K17" s="384"/>
      <c r="L17" s="384"/>
      <c r="M17" s="385"/>
      <c r="N17" s="2"/>
      <c r="O17" s="2"/>
    </row>
    <row r="18" spans="2:16" ht="15" customHeight="1" x14ac:dyDescent="0.2">
      <c r="B18" s="382"/>
      <c r="C18" s="13" t="s">
        <v>20</v>
      </c>
      <c r="D18" s="384" t="s">
        <v>21</v>
      </c>
      <c r="E18" s="384"/>
      <c r="F18" s="384"/>
      <c r="G18" s="384"/>
      <c r="H18" s="384"/>
      <c r="I18" s="384"/>
      <c r="J18" s="384"/>
      <c r="K18" s="384"/>
      <c r="L18" s="384"/>
      <c r="M18" s="385"/>
      <c r="N18" s="2"/>
      <c r="O18" s="2"/>
    </row>
    <row r="19" spans="2:16" ht="15" customHeight="1" x14ac:dyDescent="0.2">
      <c r="B19" s="382"/>
      <c r="C19" s="14" t="s">
        <v>22</v>
      </c>
      <c r="D19" s="384" t="s">
        <v>22</v>
      </c>
      <c r="E19" s="384"/>
      <c r="F19" s="384"/>
      <c r="G19" s="384"/>
      <c r="H19" s="384"/>
      <c r="I19" s="384"/>
      <c r="J19" s="384"/>
      <c r="K19" s="384"/>
      <c r="L19" s="384"/>
      <c r="M19" s="385"/>
      <c r="N19" s="2"/>
      <c r="O19" s="2"/>
    </row>
    <row r="20" spans="2:16" ht="15" customHeight="1" x14ac:dyDescent="0.2">
      <c r="B20" s="382"/>
      <c r="C20" s="14" t="s">
        <v>1233</v>
      </c>
      <c r="D20" s="384" t="s">
        <v>1234</v>
      </c>
      <c r="E20" s="384"/>
      <c r="F20" s="384"/>
      <c r="G20" s="384"/>
      <c r="H20" s="384"/>
      <c r="I20" s="384"/>
      <c r="J20" s="384"/>
      <c r="K20" s="384"/>
      <c r="L20" s="384"/>
      <c r="M20" s="364"/>
      <c r="N20" s="2"/>
      <c r="O20" s="2"/>
    </row>
    <row r="21" spans="2:16" ht="15" customHeight="1" thickBot="1" x14ac:dyDescent="0.25">
      <c r="B21" s="383"/>
      <c r="C21" s="15"/>
      <c r="D21" s="386"/>
      <c r="E21" s="386"/>
      <c r="F21" s="386"/>
      <c r="G21" s="386"/>
      <c r="H21" s="386"/>
      <c r="I21" s="386"/>
      <c r="J21" s="386"/>
      <c r="K21" s="386"/>
      <c r="L21" s="386"/>
      <c r="M21" s="387"/>
      <c r="N21" s="2"/>
      <c r="O21" s="2"/>
    </row>
    <row r="22" spans="2:16" x14ac:dyDescent="0.2">
      <c r="B22" s="9"/>
      <c r="C22" s="9"/>
      <c r="D22" s="9"/>
      <c r="E22" s="9"/>
      <c r="F22" s="9"/>
      <c r="G22" s="9"/>
      <c r="H22" s="9"/>
      <c r="I22" s="9"/>
      <c r="J22" s="9"/>
      <c r="K22" s="9"/>
      <c r="L22" s="9"/>
      <c r="M22" s="9"/>
      <c r="N22" s="2"/>
      <c r="O22" s="2"/>
    </row>
    <row r="23" spans="2:16" x14ac:dyDescent="0.2">
      <c r="B23" s="9" t="s">
        <v>23</v>
      </c>
      <c r="C23" s="9"/>
      <c r="D23" s="9"/>
      <c r="E23" s="9"/>
      <c r="F23" s="9"/>
      <c r="G23" s="9"/>
      <c r="H23" s="9"/>
      <c r="I23" s="9"/>
      <c r="J23" s="9"/>
      <c r="K23" s="9"/>
      <c r="L23" s="9"/>
      <c r="M23" s="9"/>
      <c r="N23" s="2"/>
      <c r="O23" s="2"/>
    </row>
    <row r="24" spans="2:16" x14ac:dyDescent="0.2">
      <c r="B24" s="9"/>
      <c r="C24" s="16">
        <v>42419</v>
      </c>
      <c r="D24" s="9"/>
      <c r="E24" s="9"/>
      <c r="F24" s="9"/>
      <c r="G24" s="9"/>
      <c r="H24" s="9"/>
      <c r="I24" s="9"/>
      <c r="J24" s="9"/>
      <c r="K24" s="9"/>
      <c r="L24" s="9"/>
      <c r="M24" s="9"/>
      <c r="N24" s="2"/>
      <c r="O24" s="2"/>
    </row>
    <row r="25" spans="2:16" x14ac:dyDescent="0.2">
      <c r="B25" s="9" t="s">
        <v>24</v>
      </c>
      <c r="C25" s="9"/>
      <c r="D25" s="9"/>
      <c r="E25" s="9"/>
      <c r="F25" s="9"/>
      <c r="G25" s="9"/>
      <c r="H25" s="9"/>
      <c r="I25" s="9"/>
      <c r="J25" s="9"/>
      <c r="K25" s="9"/>
      <c r="L25" s="9"/>
      <c r="M25" s="9"/>
      <c r="N25" s="2"/>
      <c r="O25" s="2"/>
    </row>
    <row r="26" spans="2:16" x14ac:dyDescent="0.2">
      <c r="B26" s="9"/>
      <c r="C26" s="17" t="s">
        <v>25</v>
      </c>
      <c r="D26" s="9"/>
      <c r="E26" s="9"/>
      <c r="F26" s="9"/>
      <c r="G26" s="9"/>
      <c r="H26" s="9"/>
      <c r="I26" s="9"/>
      <c r="J26" s="9"/>
      <c r="K26" s="9"/>
      <c r="L26" s="9"/>
      <c r="M26" s="9"/>
      <c r="N26" s="2"/>
      <c r="O26" s="2"/>
    </row>
    <row r="27" spans="2:16" x14ac:dyDescent="0.2">
      <c r="B27" s="9" t="s">
        <v>26</v>
      </c>
      <c r="C27" s="17"/>
      <c r="D27" s="9"/>
      <c r="E27" s="9"/>
      <c r="F27" s="9"/>
      <c r="G27" s="9"/>
      <c r="H27" s="9"/>
      <c r="I27" s="9"/>
      <c r="J27" s="9"/>
      <c r="K27" s="9"/>
      <c r="L27" s="9"/>
      <c r="M27" s="9"/>
      <c r="N27" s="2"/>
      <c r="O27" s="2"/>
    </row>
    <row r="28" spans="2:16" x14ac:dyDescent="0.2">
      <c r="B28" s="9"/>
      <c r="C28" s="17" t="s">
        <v>27</v>
      </c>
      <c r="D28" s="9"/>
      <c r="E28" s="9"/>
      <c r="F28" s="9"/>
      <c r="G28" s="9"/>
      <c r="H28" s="9"/>
      <c r="I28" s="9"/>
      <c r="J28" s="9"/>
      <c r="K28" s="9"/>
      <c r="L28" s="9"/>
      <c r="M28" s="9"/>
      <c r="N28" s="2"/>
      <c r="O28" s="2"/>
    </row>
    <row r="29" spans="2:16" x14ac:dyDescent="0.2">
      <c r="B29" s="9" t="s">
        <v>28</v>
      </c>
      <c r="C29" s="9"/>
      <c r="D29" s="9"/>
      <c r="E29" s="9"/>
      <c r="F29" s="9"/>
      <c r="G29" s="9"/>
      <c r="H29" s="9"/>
      <c r="I29" s="9"/>
      <c r="J29" s="9"/>
      <c r="K29" s="9"/>
      <c r="L29" s="9"/>
      <c r="M29" s="9"/>
      <c r="N29" s="2"/>
      <c r="O29" s="2"/>
    </row>
    <row r="30" spans="2:16" ht="38.25" customHeight="1" x14ac:dyDescent="0.2">
      <c r="B30" s="9"/>
      <c r="C30" s="380" t="str">
        <f>"This document should be cited as: NETL (2016). NETL Life Cycle Inventory Data – Unit Process: "&amp;D3&amp;" - Version 01. U.S. Department of Energy, National Energy Technology Laboratory. Retrieved [DATE] from www.netl.doe.gov/LCA"</f>
        <v>This document should be cited as: NETL (2016). NETL Life Cycle Inventory Data – Unit Process: concrete_production - Version 01. U.S. Department of Energy, National Energy Technology Laboratory. Retrieved [DATE] from www.netl.doe.gov/LCA</v>
      </c>
      <c r="D30" s="380"/>
      <c r="E30" s="380"/>
      <c r="F30" s="380"/>
      <c r="G30" s="380"/>
      <c r="H30" s="380"/>
      <c r="I30" s="380"/>
      <c r="J30" s="380"/>
      <c r="K30" s="380"/>
      <c r="L30" s="380"/>
      <c r="M30" s="380"/>
      <c r="N30" s="2"/>
      <c r="O30" s="2"/>
    </row>
    <row r="31" spans="2:16" x14ac:dyDescent="0.2">
      <c r="B31" s="9" t="s">
        <v>29</v>
      </c>
      <c r="C31" s="9"/>
      <c r="D31" s="9"/>
      <c r="E31" s="9"/>
      <c r="F31" s="9"/>
      <c r="G31" s="17"/>
      <c r="H31" s="17"/>
      <c r="I31" s="17"/>
      <c r="J31" s="17"/>
      <c r="K31" s="17"/>
      <c r="L31" s="17"/>
      <c r="M31" s="17"/>
      <c r="N31" s="2"/>
      <c r="O31" s="2"/>
    </row>
    <row r="32" spans="2:16" x14ac:dyDescent="0.2">
      <c r="B32" s="17"/>
      <c r="C32" s="17" t="s">
        <v>30</v>
      </c>
      <c r="D32" s="17"/>
      <c r="E32" s="18" t="s">
        <v>31</v>
      </c>
      <c r="F32" s="19"/>
      <c r="G32" s="17" t="s">
        <v>32</v>
      </c>
      <c r="H32" s="17"/>
      <c r="I32" s="17"/>
      <c r="J32" s="17"/>
      <c r="K32" s="17"/>
      <c r="L32" s="17"/>
      <c r="M32" s="17"/>
      <c r="N32" s="2"/>
      <c r="O32" s="2"/>
      <c r="P32" s="17"/>
    </row>
    <row r="33" spans="2:16" x14ac:dyDescent="0.2">
      <c r="B33" s="17"/>
      <c r="C33" s="17" t="s">
        <v>33</v>
      </c>
      <c r="D33" s="17"/>
      <c r="E33" s="17"/>
      <c r="F33" s="17"/>
      <c r="G33" s="17"/>
      <c r="H33" s="17"/>
      <c r="I33" s="17"/>
      <c r="J33" s="17"/>
      <c r="K33" s="17"/>
      <c r="L33" s="17"/>
      <c r="M33" s="17"/>
      <c r="N33" s="2"/>
      <c r="O33" s="2"/>
      <c r="P33" s="17"/>
    </row>
    <row r="34" spans="2:16" x14ac:dyDescent="0.2">
      <c r="B34" s="17"/>
      <c r="C34" s="17" t="s">
        <v>34</v>
      </c>
      <c r="D34" s="17"/>
      <c r="E34" s="17"/>
      <c r="F34" s="17"/>
      <c r="G34" s="17"/>
      <c r="H34" s="17"/>
      <c r="I34" s="17"/>
      <c r="J34" s="17"/>
      <c r="K34" s="17"/>
      <c r="L34" s="17"/>
      <c r="M34" s="17"/>
      <c r="N34" s="17"/>
      <c r="O34" s="17"/>
      <c r="P34" s="17"/>
    </row>
    <row r="35" spans="2:16" x14ac:dyDescent="0.2">
      <c r="B35" s="17"/>
      <c r="C35" s="381" t="s">
        <v>829</v>
      </c>
      <c r="D35" s="381"/>
      <c r="E35" s="381"/>
      <c r="F35" s="381"/>
      <c r="G35" s="381"/>
      <c r="H35" s="381"/>
      <c r="I35" s="381"/>
      <c r="J35" s="381"/>
      <c r="K35" s="381"/>
      <c r="L35" s="381"/>
      <c r="M35" s="381"/>
      <c r="N35" s="17"/>
      <c r="O35" s="17"/>
      <c r="P35" s="17"/>
    </row>
    <row r="36" spans="2:16" x14ac:dyDescent="0.2">
      <c r="B36" s="17"/>
      <c r="C36" s="234"/>
      <c r="D36" s="234"/>
      <c r="E36" s="332" t="s">
        <v>830</v>
      </c>
      <c r="F36" s="234"/>
      <c r="G36" s="234"/>
      <c r="H36" s="234"/>
      <c r="I36" s="234"/>
      <c r="J36" s="234"/>
      <c r="K36" s="234"/>
      <c r="L36" s="234"/>
      <c r="M36" s="234"/>
      <c r="N36" s="17"/>
      <c r="O36" s="17"/>
      <c r="P36" s="17"/>
    </row>
    <row r="37" spans="2:16" x14ac:dyDescent="0.2">
      <c r="B37" s="17"/>
      <c r="C37" s="234"/>
      <c r="D37" s="234"/>
      <c r="E37" s="332" t="s">
        <v>831</v>
      </c>
      <c r="F37" s="234"/>
      <c r="G37" s="234"/>
      <c r="H37" s="234"/>
      <c r="I37" s="234"/>
      <c r="J37" s="234"/>
      <c r="K37" s="234"/>
      <c r="L37" s="234"/>
      <c r="M37" s="234"/>
      <c r="N37" s="17"/>
      <c r="O37" s="17"/>
      <c r="P37" s="17"/>
    </row>
    <row r="38" spans="2:16" x14ac:dyDescent="0.2">
      <c r="B38" s="17"/>
      <c r="C38" s="234"/>
      <c r="D38" s="234"/>
      <c r="E38" s="332"/>
      <c r="F38" s="234"/>
      <c r="G38" s="234"/>
      <c r="H38" s="234"/>
      <c r="I38" s="234"/>
      <c r="J38" s="234"/>
      <c r="K38" s="234"/>
      <c r="L38" s="234"/>
      <c r="M38" s="234"/>
      <c r="N38" s="17"/>
      <c r="O38" s="17"/>
      <c r="P38" s="17"/>
    </row>
    <row r="39" spans="2:16" x14ac:dyDescent="0.2">
      <c r="B39" s="17"/>
      <c r="C39" s="234"/>
      <c r="D39" s="234"/>
      <c r="E39" s="332"/>
      <c r="F39" s="234"/>
      <c r="G39" s="234"/>
      <c r="H39" s="234"/>
      <c r="I39" s="234"/>
      <c r="J39" s="234"/>
      <c r="K39" s="234"/>
      <c r="L39" s="234"/>
      <c r="M39" s="234"/>
      <c r="N39" s="17"/>
      <c r="O39" s="17"/>
      <c r="P39" s="17"/>
    </row>
    <row r="40" spans="2:16" x14ac:dyDescent="0.2">
      <c r="B40" s="17"/>
      <c r="C40" s="17"/>
      <c r="D40" s="17"/>
      <c r="E40" s="333"/>
      <c r="F40" s="17"/>
      <c r="G40" s="17"/>
      <c r="H40" s="17"/>
      <c r="I40" s="17"/>
      <c r="J40" s="17"/>
      <c r="K40" s="17"/>
      <c r="L40" s="17"/>
      <c r="M40" s="17"/>
      <c r="N40" s="17"/>
      <c r="O40" s="17"/>
    </row>
    <row r="41" spans="2:16" x14ac:dyDescent="0.2">
      <c r="B41" s="9" t="s">
        <v>35</v>
      </c>
      <c r="C41" s="17"/>
      <c r="D41" s="17"/>
      <c r="E41" s="17"/>
      <c r="F41" s="17"/>
      <c r="G41" s="17"/>
      <c r="H41" s="17"/>
      <c r="I41" s="17"/>
      <c r="J41" s="17"/>
      <c r="K41" s="17"/>
      <c r="L41" s="17"/>
      <c r="M41" s="17"/>
      <c r="N41" s="17"/>
      <c r="O41" s="17"/>
    </row>
    <row r="42" spans="2:16" x14ac:dyDescent="0.2">
      <c r="B42" s="17"/>
      <c r="C42" s="17"/>
      <c r="D42" s="17"/>
      <c r="E42" s="17"/>
      <c r="F42" s="17"/>
      <c r="G42" s="17"/>
      <c r="H42" s="17"/>
      <c r="I42" s="17"/>
      <c r="J42" s="17"/>
      <c r="K42" s="17"/>
      <c r="L42" s="17"/>
      <c r="M42" s="17"/>
      <c r="N42" s="17"/>
      <c r="O42" s="17"/>
    </row>
    <row r="43" spans="2:16" x14ac:dyDescent="0.2">
      <c r="B43" s="17"/>
      <c r="C43" s="17"/>
      <c r="D43" s="17"/>
      <c r="E43" s="17"/>
      <c r="F43" s="17"/>
      <c r="G43" s="17"/>
      <c r="H43" s="17"/>
      <c r="I43" s="17"/>
      <c r="J43" s="17"/>
      <c r="K43" s="17"/>
      <c r="L43" s="17"/>
      <c r="M43" s="17"/>
      <c r="N43" s="17"/>
      <c r="O43" s="17"/>
    </row>
    <row r="44" spans="2:16" x14ac:dyDescent="0.2">
      <c r="B44" s="17"/>
      <c r="C44" s="17"/>
      <c r="D44" s="17"/>
      <c r="E44" s="17"/>
      <c r="F44" s="17"/>
      <c r="G44" s="17"/>
      <c r="H44" s="17"/>
      <c r="I44" s="17"/>
      <c r="J44" s="17"/>
      <c r="K44" s="17"/>
      <c r="L44" s="17"/>
      <c r="M44" s="17"/>
      <c r="N44" s="17"/>
      <c r="O44" s="17"/>
    </row>
    <row r="45" spans="2:16" x14ac:dyDescent="0.2">
      <c r="B45" s="17"/>
      <c r="C45" s="17"/>
      <c r="D45" s="17"/>
      <c r="E45" s="17"/>
      <c r="F45" s="17"/>
      <c r="G45" s="17"/>
      <c r="H45" s="17"/>
      <c r="I45" s="17"/>
      <c r="J45" s="17"/>
      <c r="K45" s="17"/>
      <c r="L45" s="17"/>
      <c r="M45" s="17"/>
      <c r="N45" s="17"/>
      <c r="O45" s="17"/>
    </row>
    <row r="46" spans="2:16" x14ac:dyDescent="0.2">
      <c r="B46" s="17"/>
      <c r="C46" s="17"/>
      <c r="D46" s="17"/>
      <c r="E46" s="17"/>
      <c r="F46" s="17"/>
      <c r="G46" s="17"/>
      <c r="H46" s="17"/>
      <c r="I46" s="17"/>
      <c r="J46" s="17"/>
      <c r="K46" s="17"/>
      <c r="L46" s="17"/>
      <c r="M46" s="17"/>
      <c r="N46" s="17"/>
      <c r="O46" s="17"/>
    </row>
    <row r="47" spans="2:16" x14ac:dyDescent="0.2">
      <c r="B47" s="17"/>
      <c r="C47" s="17"/>
      <c r="D47" s="17"/>
      <c r="E47" s="17"/>
      <c r="F47" s="17"/>
      <c r="G47" s="17"/>
      <c r="H47" s="17"/>
      <c r="I47" s="17"/>
      <c r="J47" s="17"/>
      <c r="K47" s="17"/>
      <c r="L47" s="17"/>
      <c r="M47" s="17"/>
      <c r="N47" s="17"/>
      <c r="O47" s="17"/>
    </row>
    <row r="48" spans="2:16" x14ac:dyDescent="0.2">
      <c r="B48" s="17"/>
      <c r="C48" s="17"/>
      <c r="D48" s="17"/>
      <c r="E48" s="17"/>
      <c r="F48" s="17"/>
      <c r="G48" s="17"/>
      <c r="H48" s="17"/>
      <c r="I48" s="17"/>
      <c r="J48" s="17"/>
      <c r="K48" s="17"/>
      <c r="L48" s="17"/>
      <c r="M48" s="17"/>
      <c r="N48" s="17"/>
      <c r="O48" s="17"/>
    </row>
    <row r="49" spans="2:15" x14ac:dyDescent="0.2">
      <c r="B49" s="17"/>
      <c r="C49" s="17"/>
      <c r="D49" s="17"/>
      <c r="E49" s="17"/>
      <c r="F49" s="17"/>
      <c r="G49" s="17"/>
      <c r="H49" s="17"/>
      <c r="I49" s="17"/>
      <c r="J49" s="17"/>
      <c r="K49" s="17"/>
      <c r="L49" s="17"/>
      <c r="M49" s="17"/>
      <c r="N49" s="17"/>
      <c r="O49" s="17"/>
    </row>
    <row r="50" spans="2:15" x14ac:dyDescent="0.2">
      <c r="B50" s="17"/>
      <c r="C50" s="17"/>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9" t="s">
        <v>36</v>
      </c>
      <c r="C57" s="17"/>
      <c r="D57" s="17"/>
      <c r="E57" s="17"/>
      <c r="F57" s="17"/>
      <c r="G57" s="17"/>
      <c r="H57" s="17"/>
      <c r="I57" s="17"/>
      <c r="J57" s="17"/>
      <c r="K57" s="17"/>
      <c r="L57" s="17"/>
      <c r="M57" s="17"/>
      <c r="N57" s="17"/>
      <c r="O57" s="17"/>
    </row>
    <row r="58" spans="2:15" x14ac:dyDescent="0.2">
      <c r="B58" s="17"/>
      <c r="C58" s="20" t="s">
        <v>37</v>
      </c>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row r="506" spans="2:15" x14ac:dyDescent="0.2">
      <c r="B506" s="17"/>
      <c r="C506" s="17"/>
      <c r="D506" s="17"/>
      <c r="E506" s="17"/>
      <c r="F506" s="17"/>
      <c r="G506" s="17"/>
      <c r="H506" s="17"/>
      <c r="I506" s="17"/>
      <c r="J506" s="17"/>
      <c r="K506" s="17"/>
      <c r="L506" s="17"/>
      <c r="M506" s="17"/>
      <c r="N506" s="17"/>
      <c r="O506" s="17"/>
    </row>
    <row r="507" spans="2:15" x14ac:dyDescent="0.2">
      <c r="B507" s="17"/>
      <c r="C507" s="17"/>
      <c r="D507" s="17"/>
      <c r="E507" s="17"/>
      <c r="F507" s="17"/>
      <c r="G507" s="17"/>
      <c r="H507" s="17"/>
      <c r="I507" s="17"/>
      <c r="J507" s="17"/>
      <c r="K507" s="17"/>
      <c r="L507" s="17"/>
      <c r="M507" s="17"/>
      <c r="N507" s="17"/>
      <c r="O507" s="17"/>
    </row>
    <row r="508" spans="2:15" x14ac:dyDescent="0.2">
      <c r="B508" s="17"/>
      <c r="C508" s="17"/>
      <c r="D508" s="17"/>
      <c r="E508" s="17"/>
      <c r="F508" s="17"/>
      <c r="G508" s="17"/>
      <c r="H508" s="17"/>
      <c r="I508" s="17"/>
      <c r="J508" s="17"/>
      <c r="K508" s="17"/>
      <c r="L508" s="17"/>
      <c r="M508" s="17"/>
      <c r="N508" s="17"/>
      <c r="O508" s="17"/>
    </row>
    <row r="509" spans="2:15" x14ac:dyDescent="0.2">
      <c r="B509" s="17"/>
      <c r="C509" s="17"/>
      <c r="D509" s="17"/>
      <c r="E509" s="17"/>
      <c r="F509" s="17"/>
      <c r="G509" s="17"/>
      <c r="H509" s="17"/>
      <c r="I509" s="17"/>
      <c r="J509" s="17"/>
      <c r="K509" s="17"/>
      <c r="L509" s="17"/>
      <c r="M509" s="17"/>
      <c r="N509" s="17"/>
      <c r="O509" s="17"/>
    </row>
    <row r="510" spans="2:15" x14ac:dyDescent="0.2">
      <c r="B510" s="17"/>
      <c r="C510" s="17"/>
      <c r="D510" s="17"/>
      <c r="E510" s="17"/>
      <c r="F510" s="17"/>
      <c r="G510" s="17"/>
      <c r="H510" s="17"/>
      <c r="I510" s="17"/>
      <c r="J510" s="17"/>
      <c r="K510" s="17"/>
      <c r="L510" s="17"/>
      <c r="M510" s="17"/>
      <c r="N510" s="17"/>
      <c r="O510" s="17"/>
    </row>
    <row r="511" spans="2:15" x14ac:dyDescent="0.2">
      <c r="B511" s="17"/>
      <c r="C511" s="17"/>
      <c r="D511" s="17"/>
      <c r="E511" s="17"/>
      <c r="F511" s="17"/>
      <c r="G511" s="17"/>
      <c r="H511" s="17"/>
      <c r="I511" s="17"/>
      <c r="J511" s="17"/>
      <c r="K511" s="17"/>
      <c r="L511" s="17"/>
      <c r="M511" s="17"/>
      <c r="N511" s="17"/>
      <c r="O511" s="17"/>
    </row>
    <row r="512" spans="2:15" x14ac:dyDescent="0.2">
      <c r="B512" s="17"/>
      <c r="C512" s="17"/>
      <c r="D512" s="17"/>
      <c r="E512" s="17"/>
      <c r="F512" s="17"/>
      <c r="G512" s="17"/>
      <c r="H512" s="17"/>
      <c r="I512" s="17"/>
      <c r="J512" s="17"/>
      <c r="K512" s="17"/>
      <c r="L512" s="17"/>
      <c r="M512" s="17"/>
      <c r="N512" s="17"/>
      <c r="O512" s="17"/>
    </row>
    <row r="513" spans="2:15" x14ac:dyDescent="0.2">
      <c r="B513" s="17"/>
      <c r="C513" s="17"/>
      <c r="D513" s="17"/>
      <c r="E513" s="17"/>
      <c r="F513" s="17"/>
      <c r="G513" s="17"/>
      <c r="H513" s="17"/>
      <c r="I513" s="17"/>
      <c r="J513" s="17"/>
      <c r="K513" s="17"/>
      <c r="L513" s="17"/>
      <c r="M513" s="17"/>
      <c r="N513" s="17"/>
      <c r="O513" s="17"/>
    </row>
    <row r="514" spans="2:15" x14ac:dyDescent="0.2">
      <c r="B514" s="17"/>
      <c r="C514" s="17"/>
      <c r="D514" s="17"/>
      <c r="E514" s="17"/>
      <c r="F514" s="17"/>
      <c r="G514" s="17"/>
      <c r="H514" s="17"/>
      <c r="I514" s="17"/>
      <c r="J514" s="17"/>
      <c r="K514" s="17"/>
      <c r="L514" s="17"/>
      <c r="M514" s="17"/>
      <c r="N514" s="17"/>
      <c r="O514" s="17"/>
    </row>
  </sheetData>
  <mergeCells count="22">
    <mergeCell ref="C30:M30"/>
    <mergeCell ref="C35:M35"/>
    <mergeCell ref="B13:B21"/>
    <mergeCell ref="D13:M13"/>
    <mergeCell ref="D14:M14"/>
    <mergeCell ref="D15:M15"/>
    <mergeCell ref="D16:M16"/>
    <mergeCell ref="D18:M18"/>
    <mergeCell ref="D19:M19"/>
    <mergeCell ref="D21:M21"/>
    <mergeCell ref="D17:M17"/>
    <mergeCell ref="D20:L20"/>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30"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27"/>
  <sheetViews>
    <sheetView zoomScaleNormal="100" workbookViewId="0">
      <selection activeCell="D19" sqref="D19"/>
    </sheetView>
  </sheetViews>
  <sheetFormatPr defaultRowHeight="15" x14ac:dyDescent="0.25"/>
  <cols>
    <col min="1" max="1" width="25.85546875" style="188" customWidth="1"/>
    <col min="2" max="2" width="11" style="188" customWidth="1"/>
    <col min="3" max="3" width="12.7109375" style="188" bestFit="1" customWidth="1"/>
    <col min="4" max="4" width="22.85546875" style="188" customWidth="1"/>
    <col min="5" max="6" width="11" style="188" customWidth="1"/>
    <col min="7" max="8" width="9.140625" style="188" customWidth="1"/>
    <col min="9" max="9" width="19" style="245"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x14ac:dyDescent="0.3">
      <c r="H1" s="231" t="s">
        <v>19</v>
      </c>
      <c r="I1" s="259"/>
    </row>
    <row r="2" spans="1:9" s="198" customFormat="1" ht="18" customHeight="1" x14ac:dyDescent="0.25">
      <c r="A2" s="258" t="s">
        <v>19</v>
      </c>
      <c r="B2" s="257" t="s">
        <v>446</v>
      </c>
      <c r="C2" s="256"/>
      <c r="D2" s="255"/>
      <c r="E2" s="255"/>
      <c r="F2" s="255"/>
      <c r="G2" s="255"/>
      <c r="H2" s="255"/>
      <c r="I2" s="254" t="s">
        <v>63</v>
      </c>
    </row>
    <row r="3" spans="1:9" s="198" customFormat="1" x14ac:dyDescent="0.2">
      <c r="A3" s="253" t="s">
        <v>445</v>
      </c>
      <c r="C3" s="252"/>
      <c r="I3" s="251"/>
    </row>
    <row r="4" spans="1:9" s="198" customFormat="1" ht="12.75" x14ac:dyDescent="0.2">
      <c r="A4" s="250" t="s">
        <v>444</v>
      </c>
      <c r="B4" s="250" t="s">
        <v>59</v>
      </c>
      <c r="C4" s="250" t="s">
        <v>71</v>
      </c>
      <c r="D4" s="250" t="s">
        <v>443</v>
      </c>
      <c r="E4" s="249" t="s">
        <v>22</v>
      </c>
      <c r="F4" s="248"/>
      <c r="G4" s="248"/>
      <c r="H4" s="248"/>
      <c r="I4" s="247"/>
    </row>
    <row r="5" spans="1:9" x14ac:dyDescent="0.25">
      <c r="A5" t="s">
        <v>986</v>
      </c>
      <c r="B5"/>
      <c r="C5"/>
      <c r="D5"/>
      <c r="E5"/>
      <c r="F5"/>
      <c r="G5"/>
      <c r="H5"/>
    </row>
    <row r="6" spans="1:9" x14ac:dyDescent="0.25">
      <c r="A6" t="s">
        <v>442</v>
      </c>
      <c r="B6"/>
    </row>
    <row r="7" spans="1:9" x14ac:dyDescent="0.25">
      <c r="A7" t="s">
        <v>441</v>
      </c>
      <c r="B7" s="193">
        <v>8.5599999999999999E-3</v>
      </c>
      <c r="C7" t="s">
        <v>440</v>
      </c>
      <c r="D7" s="188" t="s">
        <v>424</v>
      </c>
      <c r="I7" s="245">
        <v>2</v>
      </c>
    </row>
    <row r="8" spans="1:9" x14ac:dyDescent="0.25">
      <c r="A8" t="s">
        <v>439</v>
      </c>
      <c r="B8" s="193">
        <v>0.749</v>
      </c>
      <c r="C8" t="s">
        <v>438</v>
      </c>
      <c r="D8" s="188" t="s">
        <v>424</v>
      </c>
      <c r="I8" s="245">
        <v>2</v>
      </c>
    </row>
    <row r="9" spans="1:9" x14ac:dyDescent="0.25">
      <c r="A9" t="s">
        <v>437</v>
      </c>
      <c r="B9" s="193">
        <v>8.4800000000000005E-8</v>
      </c>
      <c r="C9" t="s">
        <v>436</v>
      </c>
      <c r="D9" s="188" t="s">
        <v>424</v>
      </c>
      <c r="I9" s="245">
        <v>2</v>
      </c>
    </row>
    <row r="10" spans="1:9" x14ac:dyDescent="0.25">
      <c r="A10" t="s">
        <v>435</v>
      </c>
      <c r="B10" s="193">
        <v>0.25900000000000001</v>
      </c>
      <c r="C10" t="s">
        <v>431</v>
      </c>
      <c r="D10" s="188" t="s">
        <v>424</v>
      </c>
      <c r="I10" s="245">
        <v>2</v>
      </c>
    </row>
    <row r="11" spans="1:9" x14ac:dyDescent="0.25">
      <c r="A11" t="s">
        <v>434</v>
      </c>
      <c r="B11" s="193">
        <v>1.12E-2</v>
      </c>
      <c r="C11" t="s">
        <v>431</v>
      </c>
      <c r="D11" s="188" t="s">
        <v>424</v>
      </c>
      <c r="I11" s="245">
        <v>2</v>
      </c>
    </row>
    <row r="12" spans="1:9" x14ac:dyDescent="0.25">
      <c r="A12" t="s">
        <v>433</v>
      </c>
      <c r="B12" s="193">
        <v>0.41499999999999998</v>
      </c>
      <c r="C12" t="s">
        <v>431</v>
      </c>
      <c r="D12" s="188" t="s">
        <v>424</v>
      </c>
      <c r="I12" s="245">
        <v>2</v>
      </c>
    </row>
    <row r="13" spans="1:9" x14ac:dyDescent="0.25">
      <c r="A13" t="s">
        <v>432</v>
      </c>
      <c r="B13" s="193">
        <v>5.0400000000000002E-3</v>
      </c>
      <c r="C13" t="s">
        <v>431</v>
      </c>
      <c r="D13" s="188" t="s">
        <v>424</v>
      </c>
      <c r="I13" s="245">
        <v>2</v>
      </c>
    </row>
    <row r="14" spans="1:9" x14ac:dyDescent="0.25">
      <c r="A14" t="s">
        <v>430</v>
      </c>
      <c r="B14" s="193">
        <v>2.2900000000000001E-4</v>
      </c>
      <c r="C14" t="s">
        <v>429</v>
      </c>
      <c r="D14" s="188" t="s">
        <v>424</v>
      </c>
      <c r="I14" s="245">
        <v>2</v>
      </c>
    </row>
    <row r="15" spans="1:9" x14ac:dyDescent="0.25">
      <c r="A15" t="s">
        <v>428</v>
      </c>
      <c r="B15" s="193">
        <v>8.5800000000000008E-3</v>
      </c>
      <c r="C15" t="s">
        <v>427</v>
      </c>
      <c r="D15" s="188" t="s">
        <v>424</v>
      </c>
      <c r="I15" s="245">
        <v>2</v>
      </c>
    </row>
    <row r="16" spans="1:9" x14ac:dyDescent="0.25">
      <c r="A16" t="s">
        <v>426</v>
      </c>
      <c r="B16" s="193">
        <v>1.0300000000000001E-3</v>
      </c>
      <c r="C16" t="s">
        <v>425</v>
      </c>
      <c r="D16" s="188" t="s">
        <v>424</v>
      </c>
      <c r="I16" s="245">
        <v>2</v>
      </c>
    </row>
    <row r="18" spans="1:3" x14ac:dyDescent="0.25">
      <c r="A18" s="188" t="s">
        <v>423</v>
      </c>
      <c r="B18" s="246">
        <f>B7</f>
        <v>8.5599999999999999E-3</v>
      </c>
      <c r="C18" s="188" t="s">
        <v>990</v>
      </c>
    </row>
    <row r="19" spans="1:3" x14ac:dyDescent="0.25">
      <c r="A19" s="188" t="s">
        <v>422</v>
      </c>
      <c r="B19" s="246">
        <f>B8</f>
        <v>0.749</v>
      </c>
      <c r="C19" s="188" t="s">
        <v>990</v>
      </c>
    </row>
    <row r="20" spans="1:3" x14ac:dyDescent="0.25">
      <c r="A20" s="188" t="s">
        <v>421</v>
      </c>
      <c r="B20" s="246">
        <f>B9</f>
        <v>8.4800000000000005E-8</v>
      </c>
      <c r="C20" s="188" t="s">
        <v>990</v>
      </c>
    </row>
    <row r="21" spans="1:3" x14ac:dyDescent="0.25">
      <c r="A21" s="188" t="s">
        <v>420</v>
      </c>
      <c r="B21" s="246">
        <f>SUM(B10:B13)</f>
        <v>0.69024000000000008</v>
      </c>
      <c r="C21" s="188" t="s">
        <v>990</v>
      </c>
    </row>
    <row r="22" spans="1:3" x14ac:dyDescent="0.25">
      <c r="A22" s="188" t="s">
        <v>419</v>
      </c>
      <c r="B22" s="246">
        <f>B14</f>
        <v>2.2900000000000001E-4</v>
      </c>
      <c r="C22" s="188" t="s">
        <v>990</v>
      </c>
    </row>
    <row r="23" spans="1:3" x14ac:dyDescent="0.25">
      <c r="A23" s="188" t="s">
        <v>418</v>
      </c>
      <c r="B23" s="246">
        <f>B15</f>
        <v>8.5800000000000008E-3</v>
      </c>
      <c r="C23" s="188" t="s">
        <v>990</v>
      </c>
    </row>
    <row r="24" spans="1:3" x14ac:dyDescent="0.25">
      <c r="A24" s="188" t="s">
        <v>417</v>
      </c>
      <c r="B24" s="246">
        <f>B16</f>
        <v>1.0300000000000001E-3</v>
      </c>
      <c r="C24" s="188" t="s">
        <v>990</v>
      </c>
    </row>
    <row r="25" spans="1:3" x14ac:dyDescent="0.25">
      <c r="B25" s="246"/>
    </row>
    <row r="26" spans="1:3" x14ac:dyDescent="0.25">
      <c r="B26" s="246"/>
    </row>
    <row r="27" spans="1:3" x14ac:dyDescent="0.25">
      <c r="B27" s="246"/>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3:U21"/>
  <sheetViews>
    <sheetView workbookViewId="0">
      <selection activeCell="N8" sqref="N8"/>
    </sheetView>
  </sheetViews>
  <sheetFormatPr defaultRowHeight="15" x14ac:dyDescent="0.25"/>
  <cols>
    <col min="1" max="1" width="33" customWidth="1"/>
    <col min="2" max="2" width="15.42578125" customWidth="1"/>
    <col min="5" max="5" width="1.140625" customWidth="1"/>
    <col min="15" max="15" width="1.140625" customWidth="1"/>
  </cols>
  <sheetData>
    <row r="3" spans="1:21" x14ac:dyDescent="0.25">
      <c r="D3">
        <v>3</v>
      </c>
      <c r="N3">
        <v>2</v>
      </c>
      <c r="T3">
        <v>1</v>
      </c>
    </row>
    <row r="4" spans="1:21" ht="33" customHeight="1" x14ac:dyDescent="0.25">
      <c r="A4" s="278"/>
      <c r="B4" s="278"/>
      <c r="C4" s="346" t="s">
        <v>725</v>
      </c>
      <c r="D4" s="348" t="s">
        <v>989</v>
      </c>
      <c r="E4" s="350"/>
      <c r="F4" s="346" t="s">
        <v>640</v>
      </c>
      <c r="G4" s="346" t="s">
        <v>639</v>
      </c>
      <c r="H4" s="346" t="s">
        <v>638</v>
      </c>
      <c r="I4" s="346" t="s">
        <v>637</v>
      </c>
      <c r="J4" s="346" t="s">
        <v>636</v>
      </c>
      <c r="K4" s="346" t="s">
        <v>635</v>
      </c>
      <c r="L4" s="346" t="s">
        <v>634</v>
      </c>
      <c r="M4" s="346" t="s">
        <v>402</v>
      </c>
      <c r="N4" s="346" t="s">
        <v>989</v>
      </c>
      <c r="O4" s="350"/>
      <c r="P4" s="346" t="s">
        <v>726</v>
      </c>
      <c r="Q4" s="346" t="s">
        <v>727</v>
      </c>
      <c r="R4" s="346" t="s">
        <v>728</v>
      </c>
      <c r="S4" s="346" t="s">
        <v>402</v>
      </c>
      <c r="T4" s="346" t="s">
        <v>989</v>
      </c>
      <c r="U4" s="197"/>
    </row>
    <row r="5" spans="1:21" ht="15" customHeight="1" x14ac:dyDescent="0.25">
      <c r="A5" s="278" t="s">
        <v>839</v>
      </c>
      <c r="B5" s="278"/>
      <c r="C5" s="278">
        <f>'Concrete Mix'!L5</f>
        <v>1822</v>
      </c>
      <c r="D5" s="349"/>
      <c r="E5" s="351"/>
      <c r="F5" s="278">
        <f>'Concrete Mix'!E5</f>
        <v>2370</v>
      </c>
      <c r="G5" s="278">
        <f>'Concrete Mix'!F5</f>
        <v>2380</v>
      </c>
      <c r="H5" s="278">
        <f>'Concrete Mix'!G5</f>
        <v>2320</v>
      </c>
      <c r="I5" s="278">
        <f>'Concrete Mix'!H5</f>
        <v>2320</v>
      </c>
      <c r="J5" s="278">
        <f>'Concrete Mix'!I5</f>
        <v>2320</v>
      </c>
      <c r="K5" s="278">
        <f>'Concrete Mix'!J5</f>
        <v>2320</v>
      </c>
      <c r="L5" s="278">
        <f>'Concrete Mix'!K5</f>
        <v>2320</v>
      </c>
      <c r="M5" s="278">
        <f>AVERAGE(F5:L5)</f>
        <v>2335.7142857142858</v>
      </c>
      <c r="N5" s="278"/>
      <c r="O5" s="351"/>
      <c r="P5" s="278">
        <f>'Concrete Mix'!B5</f>
        <v>2290</v>
      </c>
      <c r="Q5" s="278">
        <f>'Concrete Mix'!C5</f>
        <v>2380</v>
      </c>
      <c r="R5" s="278">
        <f>'Concrete Mix'!D5</f>
        <v>2320</v>
      </c>
      <c r="S5" s="278">
        <f>AVERAGE(P5:R5)</f>
        <v>2330</v>
      </c>
      <c r="T5" s="278"/>
      <c r="U5" s="197"/>
    </row>
    <row r="6" spans="1:21" ht="25.5" customHeight="1" x14ac:dyDescent="0.25">
      <c r="A6" s="278" t="s">
        <v>987</v>
      </c>
      <c r="B6" s="278"/>
      <c r="C6" s="278"/>
      <c r="D6" s="349"/>
      <c r="E6" s="351"/>
      <c r="F6" s="278"/>
      <c r="G6" s="278"/>
      <c r="H6" s="278"/>
      <c r="I6" s="278"/>
      <c r="J6" s="278"/>
      <c r="K6" s="278"/>
      <c r="L6" s="278"/>
      <c r="M6" s="278"/>
      <c r="N6" s="278"/>
      <c r="O6" s="351"/>
      <c r="P6" s="278"/>
      <c r="Q6" s="278"/>
      <c r="R6" s="278"/>
      <c r="S6" s="278"/>
      <c r="T6" s="278"/>
      <c r="U6" s="197"/>
    </row>
    <row r="7" spans="1:21" x14ac:dyDescent="0.25">
      <c r="A7" s="278" t="s">
        <v>306</v>
      </c>
      <c r="B7" s="278"/>
      <c r="C7" s="278"/>
      <c r="D7" s="349"/>
      <c r="E7" s="351"/>
      <c r="F7" s="278"/>
      <c r="G7" s="278"/>
      <c r="H7" s="278"/>
      <c r="I7" s="278"/>
      <c r="J7" s="278"/>
      <c r="K7" s="278"/>
      <c r="L7" s="278"/>
      <c r="M7" s="278"/>
      <c r="N7" s="278"/>
      <c r="O7" s="351"/>
      <c r="P7" s="278"/>
      <c r="Q7" s="278"/>
      <c r="R7" s="278"/>
      <c r="S7" s="278"/>
      <c r="T7" s="278"/>
      <c r="U7" s="197"/>
    </row>
    <row r="8" spans="1:21" x14ac:dyDescent="0.25">
      <c r="A8" s="279" t="s">
        <v>597</v>
      </c>
      <c r="B8" s="279" t="s">
        <v>729</v>
      </c>
      <c r="C8" s="278">
        <v>0.45200000000000001</v>
      </c>
      <c r="D8" s="291">
        <f>C8*Conversions!$D$5*Conversions!$D$9*Conversions!$D$6/C$5</f>
        <v>1.7842563692746776E-4</v>
      </c>
      <c r="E8" s="352"/>
      <c r="F8" s="195">
        <v>0.498</v>
      </c>
      <c r="G8" s="195">
        <v>0.51700000000000002</v>
      </c>
      <c r="H8" s="195">
        <v>0.52200000000000002</v>
      </c>
      <c r="I8" s="195">
        <v>0.52200000000000002</v>
      </c>
      <c r="J8" s="195">
        <v>0.52200000000000002</v>
      </c>
      <c r="K8" s="195">
        <v>0.52200000000000002</v>
      </c>
      <c r="L8" s="195">
        <v>0.52200000000000002</v>
      </c>
      <c r="M8" s="194">
        <f>AVERAGE(F8:L8)</f>
        <v>0.51785714285714302</v>
      </c>
      <c r="N8" s="291">
        <f>M8*Conversions!$D$5*Conversions!$D$9*Conversions!$D$6/M$5</f>
        <v>1.5946208837334483E-4</v>
      </c>
      <c r="O8" s="352"/>
      <c r="P8" s="195">
        <v>0.41699999999999998</v>
      </c>
      <c r="Q8" s="195">
        <v>0.44900000000000001</v>
      </c>
      <c r="R8" s="195">
        <v>0.48099999999999998</v>
      </c>
      <c r="S8" s="194">
        <f>AVERAGE(P8:R8)</f>
        <v>0.44900000000000001</v>
      </c>
      <c r="T8" s="291">
        <f>S8*Conversions!$D$5*Conversions!$D$9*Conversions!$D$6/S$5</f>
        <v>1.3859820749586858E-4</v>
      </c>
      <c r="U8" s="194"/>
    </row>
    <row r="9" spans="1:21" x14ac:dyDescent="0.25">
      <c r="A9" s="279" t="s">
        <v>595</v>
      </c>
      <c r="B9" s="279" t="s">
        <v>730</v>
      </c>
      <c r="C9" s="278">
        <v>1.03</v>
      </c>
      <c r="D9" s="291">
        <f>C9*Conversions!$D$5*Conversions!$D$9*Conversions!$D$6/C$5</f>
        <v>4.0658939388338886E-4</v>
      </c>
      <c r="E9" s="352"/>
      <c r="F9" s="195">
        <v>1.67</v>
      </c>
      <c r="G9" s="195">
        <v>1.52</v>
      </c>
      <c r="H9" s="195">
        <v>1.35</v>
      </c>
      <c r="I9" s="195">
        <v>1.35</v>
      </c>
      <c r="J9" s="195">
        <v>1.35</v>
      </c>
      <c r="K9" s="195">
        <v>1.35</v>
      </c>
      <c r="L9" s="195">
        <v>1.35</v>
      </c>
      <c r="M9" s="194">
        <f t="shared" ref="M9:M20" si="0">AVERAGE(F9:L9)</f>
        <v>1.42</v>
      </c>
      <c r="N9" s="291">
        <f>M9*Conversions!$D$5*Conversions!$D$9*Conversions!$D$6/M$5</f>
        <v>4.3725604370511637E-4</v>
      </c>
      <c r="O9" s="352"/>
      <c r="P9" s="195">
        <v>2.08</v>
      </c>
      <c r="Q9" s="195">
        <v>2.11</v>
      </c>
      <c r="R9" s="195">
        <v>1.79</v>
      </c>
      <c r="S9" s="194">
        <f t="shared" ref="S9:S20" si="1">AVERAGE(P9:R9)</f>
        <v>1.9933333333333332</v>
      </c>
      <c r="T9" s="291">
        <f>S9*Conversions!$D$5*Conversions!$D$9*Conversions!$D$6/S$5</f>
        <v>6.1530607336695914E-4</v>
      </c>
      <c r="U9" s="194"/>
    </row>
    <row r="10" spans="1:21" x14ac:dyDescent="0.25">
      <c r="A10" s="279" t="s">
        <v>592</v>
      </c>
      <c r="B10" s="279" t="s">
        <v>731</v>
      </c>
      <c r="C10" s="278">
        <v>8.43E-2</v>
      </c>
      <c r="D10" s="291">
        <f>C10*Conversions!$D$5*Conversions!$D$9*Conversions!$D$6/C$5</f>
        <v>3.3277170780941438E-5</v>
      </c>
      <c r="E10" s="352"/>
      <c r="F10" s="195">
        <v>9.8900000000000002E-2</v>
      </c>
      <c r="G10" s="195">
        <v>0.10100000000000001</v>
      </c>
      <c r="H10" s="195">
        <v>9.98E-2</v>
      </c>
      <c r="I10" s="195">
        <v>9.98E-2</v>
      </c>
      <c r="J10" s="195">
        <v>9.98E-2</v>
      </c>
      <c r="K10" s="195">
        <v>9.98E-2</v>
      </c>
      <c r="L10" s="195">
        <v>9.98E-2</v>
      </c>
      <c r="M10" s="194">
        <f t="shared" si="0"/>
        <v>9.9842857142857136E-2</v>
      </c>
      <c r="N10" s="291">
        <f>M10*Conversions!$D$5*Conversions!$D$9*Conversions!$D$6/M$5</f>
        <v>3.0744290638380864E-5</v>
      </c>
      <c r="O10" s="352"/>
      <c r="P10" s="195">
        <v>8.9300000000000004E-2</v>
      </c>
      <c r="Q10" s="195">
        <v>9.4899999999999998E-2</v>
      </c>
      <c r="R10" s="195">
        <v>9.7000000000000003E-2</v>
      </c>
      <c r="S10" s="194">
        <f t="shared" si="1"/>
        <v>9.3733333333333335E-2</v>
      </c>
      <c r="T10" s="291">
        <f>S10*Conversions!$D$5*Conversions!$D$9*Conversions!$D$6/S$5</f>
        <v>2.8933790607155341E-5</v>
      </c>
      <c r="U10" s="194"/>
    </row>
    <row r="11" spans="1:21" x14ac:dyDescent="0.25">
      <c r="A11" s="279" t="s">
        <v>82</v>
      </c>
      <c r="B11" s="279"/>
      <c r="C11" s="280"/>
      <c r="D11" s="197"/>
      <c r="E11" s="353"/>
      <c r="F11" s="196"/>
      <c r="G11" s="196"/>
      <c r="H11" s="196"/>
      <c r="I11" s="196"/>
      <c r="J11" s="196"/>
      <c r="K11" s="196"/>
      <c r="L11" s="196"/>
      <c r="M11" s="194"/>
      <c r="N11" s="197"/>
      <c r="O11" s="353"/>
      <c r="P11" s="196"/>
      <c r="Q11" s="196"/>
      <c r="R11" s="196"/>
      <c r="S11" s="194"/>
      <c r="T11" s="197"/>
      <c r="U11" s="194"/>
    </row>
    <row r="12" spans="1:21" x14ac:dyDescent="0.25">
      <c r="A12" s="279" t="s">
        <v>574</v>
      </c>
      <c r="B12" s="279" t="s">
        <v>732</v>
      </c>
      <c r="C12" s="278">
        <v>4.3099999999999996</v>
      </c>
      <c r="D12" s="291">
        <f>C12*Conversions!$D$5*Conversions!$D$9*Conversions!$D$6/C$5</f>
        <v>1.7013595025605879E-3</v>
      </c>
      <c r="E12" s="352"/>
      <c r="F12" s="195">
        <v>6.34</v>
      </c>
      <c r="G12" s="195">
        <v>5.95</v>
      </c>
      <c r="H12" s="195">
        <v>5.47</v>
      </c>
      <c r="I12" s="195">
        <v>5.47</v>
      </c>
      <c r="J12" s="195">
        <v>5.47</v>
      </c>
      <c r="K12" s="195">
        <v>5.47</v>
      </c>
      <c r="L12" s="195">
        <v>5.47</v>
      </c>
      <c r="M12" s="194">
        <f t="shared" si="0"/>
        <v>5.6628571428571419</v>
      </c>
      <c r="N12" s="291">
        <f>M12*Conversions!$D$5*Conversions!$D$9*Conversions!$D$6/M$5</f>
        <v>1.7437454298260371E-3</v>
      </c>
      <c r="O12" s="352"/>
      <c r="P12" s="195">
        <v>7.33</v>
      </c>
      <c r="Q12" s="195">
        <v>7.52</v>
      </c>
      <c r="R12" s="195">
        <v>6.66</v>
      </c>
      <c r="S12" s="194">
        <f t="shared" si="1"/>
        <v>7.169999999999999</v>
      </c>
      <c r="T12" s="291">
        <f>S12*Conversions!$D$5*Conversions!$D$9*Conversions!$D$6/S$5</f>
        <v>2.2132497722614198E-3</v>
      </c>
      <c r="U12" s="194"/>
    </row>
    <row r="13" spans="1:21" x14ac:dyDescent="0.25">
      <c r="A13" s="279" t="s">
        <v>572</v>
      </c>
      <c r="B13" s="279"/>
      <c r="C13" s="278">
        <v>4.3099999999999996</v>
      </c>
      <c r="D13" s="194">
        <f>C13*Conversions!$D$5*Conversions!$D$9*Conversions!$D$6/C$5</f>
        <v>1.7013595025605879E-3</v>
      </c>
      <c r="E13" s="352"/>
      <c r="F13" s="195">
        <v>6.34</v>
      </c>
      <c r="G13" s="195">
        <v>5.95</v>
      </c>
      <c r="H13" s="195">
        <v>5.47</v>
      </c>
      <c r="I13" s="195">
        <v>5.47</v>
      </c>
      <c r="J13" s="195">
        <v>5.47</v>
      </c>
      <c r="K13" s="195">
        <v>5.47</v>
      </c>
      <c r="L13" s="195">
        <v>5.47</v>
      </c>
      <c r="M13" s="194">
        <f t="shared" si="0"/>
        <v>5.6628571428571419</v>
      </c>
      <c r="N13" s="194">
        <f>M13*Conversions!$D$5*Conversions!$D$9*Conversions!$D$6/M$5</f>
        <v>1.7437454298260371E-3</v>
      </c>
      <c r="O13" s="352"/>
      <c r="P13" s="195">
        <v>7.33</v>
      </c>
      <c r="Q13" s="195">
        <v>7.52</v>
      </c>
      <c r="R13" s="195">
        <v>6.66</v>
      </c>
      <c r="S13" s="194">
        <f t="shared" si="1"/>
        <v>7.169999999999999</v>
      </c>
      <c r="T13" s="194">
        <f>S13*Conversions!$D$5*Conversions!$D$9*Conversions!$D$6/S$5</f>
        <v>2.2132497722614198E-3</v>
      </c>
      <c r="U13" s="194"/>
    </row>
    <row r="14" spans="1:21" x14ac:dyDescent="0.25">
      <c r="A14" s="279" t="s">
        <v>571</v>
      </c>
      <c r="B14" s="279" t="s">
        <v>733</v>
      </c>
      <c r="C14" s="278">
        <v>2.4E-2</v>
      </c>
      <c r="D14" s="291">
        <f>C14*Conversions!$D$5*Conversions!$D$9*Conversions!$D$6/C$5</f>
        <v>9.4739276244673118E-6</v>
      </c>
      <c r="E14" s="352"/>
      <c r="F14" s="195">
        <v>2.92E-2</v>
      </c>
      <c r="G14" s="195">
        <v>2.93E-2</v>
      </c>
      <c r="H14" s="195">
        <v>2.87E-2</v>
      </c>
      <c r="I14" s="195">
        <v>2.87E-2</v>
      </c>
      <c r="J14" s="195">
        <v>2.87E-2</v>
      </c>
      <c r="K14" s="195">
        <v>2.87E-2</v>
      </c>
      <c r="L14" s="195">
        <v>2.87E-2</v>
      </c>
      <c r="M14" s="194">
        <f t="shared" si="0"/>
        <v>2.8857142857142859E-2</v>
      </c>
      <c r="N14" s="291">
        <f>M14*Conversions!$D$5*Conversions!$D$9*Conversions!$D$6/M$5</f>
        <v>8.8858874072870735E-6</v>
      </c>
      <c r="O14" s="352"/>
      <c r="P14" s="195">
        <v>2.7699999999999999E-2</v>
      </c>
      <c r="Q14" s="195">
        <v>2.92E-2</v>
      </c>
      <c r="R14" s="195">
        <v>2.9000000000000001E-2</v>
      </c>
      <c r="S14" s="194">
        <f t="shared" si="1"/>
        <v>2.8633333333333334E-2</v>
      </c>
      <c r="T14" s="291">
        <f>S14*Conversions!$D$5*Conversions!$D$9*Conversions!$D$6/S$5</f>
        <v>8.8385939301374245E-6</v>
      </c>
      <c r="U14" s="194"/>
    </row>
    <row r="15" spans="1:21" x14ac:dyDescent="0.25">
      <c r="A15" s="279" t="s">
        <v>566</v>
      </c>
      <c r="B15" s="279" t="s">
        <v>734</v>
      </c>
      <c r="C15" s="278">
        <v>3.0400000000000002E-4</v>
      </c>
      <c r="D15" s="291">
        <f>C15*Conversions!$D$5*Conversions!$D$9*Conversions!$D$6/C$5</f>
        <v>1.2000308324325262E-7</v>
      </c>
      <c r="E15" s="352"/>
      <c r="F15" s="195">
        <v>3.6600000000000001E-4</v>
      </c>
      <c r="G15" s="195">
        <v>3.6999999999999999E-4</v>
      </c>
      <c r="H15" s="195">
        <v>3.6400000000000001E-4</v>
      </c>
      <c r="I15" s="195">
        <v>3.6400000000000001E-4</v>
      </c>
      <c r="J15" s="195">
        <v>3.6400000000000001E-4</v>
      </c>
      <c r="K15" s="195">
        <v>3.6400000000000001E-4</v>
      </c>
      <c r="L15" s="195">
        <v>3.6400000000000001E-4</v>
      </c>
      <c r="M15" s="194">
        <f t="shared" si="0"/>
        <v>3.6514285714285717E-4</v>
      </c>
      <c r="N15" s="291">
        <f>M15*Conversions!$D$5*Conversions!$D$9*Conversions!$D$6/M$5</f>
        <v>1.1243726838131566E-7</v>
      </c>
      <c r="O15" s="352"/>
      <c r="P15" s="195">
        <v>3.4099999999999999E-4</v>
      </c>
      <c r="Q15" s="195">
        <v>3.6099999999999999E-4</v>
      </c>
      <c r="R15" s="195">
        <v>3.6200000000000002E-4</v>
      </c>
      <c r="S15" s="194">
        <f t="shared" si="1"/>
        <v>3.546666666666666E-4</v>
      </c>
      <c r="T15" s="291">
        <f>S15*Conversions!$D$5*Conversions!$D$9*Conversions!$D$6/S$5</f>
        <v>1.094792077027499E-7</v>
      </c>
      <c r="U15" s="194"/>
    </row>
    <row r="16" spans="1:21" x14ac:dyDescent="0.25">
      <c r="A16" s="279" t="s">
        <v>669</v>
      </c>
      <c r="B16" s="279"/>
      <c r="C16" s="278">
        <v>1.34E-4</v>
      </c>
      <c r="D16" s="194">
        <f>C16*Conversions!$D$5*Conversions!$D$9*Conversions!$D$6/C$5</f>
        <v>5.2896095903275829E-8</v>
      </c>
      <c r="E16" s="352"/>
      <c r="F16" s="195">
        <v>1.8699999999999999E-4</v>
      </c>
      <c r="G16" s="195">
        <v>1.7899999999999999E-4</v>
      </c>
      <c r="H16" s="195">
        <v>1.6699999999999999E-4</v>
      </c>
      <c r="I16" s="195">
        <v>1.6699999999999999E-4</v>
      </c>
      <c r="J16" s="195">
        <v>1.6699999999999999E-4</v>
      </c>
      <c r="K16" s="195">
        <v>1.6699999999999999E-4</v>
      </c>
      <c r="L16" s="195">
        <v>1.6699999999999999E-4</v>
      </c>
      <c r="M16" s="194">
        <f t="shared" si="0"/>
        <v>1.7157142857142862E-4</v>
      </c>
      <c r="N16" s="194">
        <f>M16*Conversions!$D$5*Conversions!$D$9*Conversions!$D$6/M$5</f>
        <v>5.283143948589989E-8</v>
      </c>
      <c r="O16" s="352"/>
      <c r="P16" s="195">
        <v>2.0699999999999999E-4</v>
      </c>
      <c r="Q16" s="195">
        <v>2.14E-4</v>
      </c>
      <c r="R16" s="195">
        <v>1.94E-4</v>
      </c>
      <c r="S16" s="194">
        <f t="shared" si="1"/>
        <v>2.05E-4</v>
      </c>
      <c r="T16" s="194">
        <f>S16*Conversions!$D$5*Conversions!$D$9*Conversions!$D$6/S$5</f>
        <v>6.3279805204127081E-8</v>
      </c>
      <c r="U16" s="194"/>
    </row>
    <row r="17" spans="1:21" x14ac:dyDescent="0.25">
      <c r="A17" s="279" t="s">
        <v>565</v>
      </c>
      <c r="B17" s="279" t="s">
        <v>735</v>
      </c>
      <c r="C17" s="278">
        <v>4.3400000000000001E-2</v>
      </c>
      <c r="D17" s="291">
        <f>C17*Conversions!$D$5*Conversions!$D$9*Conversions!$D$6/C$5</f>
        <v>1.7132019120911724E-5</v>
      </c>
      <c r="E17" s="352"/>
      <c r="F17" s="195">
        <v>6.1699999999999998E-2</v>
      </c>
      <c r="G17" s="195">
        <v>5.9499999999999997E-2</v>
      </c>
      <c r="H17" s="195">
        <v>5.6000000000000001E-2</v>
      </c>
      <c r="I17" s="195">
        <v>5.6000000000000001E-2</v>
      </c>
      <c r="J17" s="195">
        <v>5.6000000000000001E-2</v>
      </c>
      <c r="K17" s="195">
        <v>5.6000000000000001E-2</v>
      </c>
      <c r="L17" s="195">
        <v>5.6000000000000001E-2</v>
      </c>
      <c r="M17" s="194">
        <f t="shared" si="0"/>
        <v>5.7314285714285713E-2</v>
      </c>
      <c r="N17" s="291">
        <f>M17*Conversions!$D$5*Conversions!$D$9*Conversions!$D$6/M$5</f>
        <v>1.7648604098037494E-5</v>
      </c>
      <c r="O17" s="352"/>
      <c r="P17" s="195">
        <v>6.6000000000000003E-2</v>
      </c>
      <c r="Q17" s="195">
        <v>6.8400000000000002E-2</v>
      </c>
      <c r="R17" s="195">
        <v>6.3E-2</v>
      </c>
      <c r="S17" s="194">
        <f t="shared" si="1"/>
        <v>6.5800000000000011E-2</v>
      </c>
      <c r="T17" s="291">
        <f>S17*Conversions!$D$5*Conversions!$D$9*Conversions!$D$6/S$5</f>
        <v>2.0311274060641767E-5</v>
      </c>
      <c r="U17" s="194"/>
    </row>
    <row r="18" spans="1:21" x14ac:dyDescent="0.25">
      <c r="A18" s="279" t="s">
        <v>563</v>
      </c>
      <c r="B18" s="279"/>
      <c r="C18" s="278">
        <v>8.52E-4</v>
      </c>
      <c r="D18" s="194">
        <f>C18*Conversions!$D$5*Conversions!$D$9*Conversions!$D$6/C$5</f>
        <v>3.3632443066858964E-7</v>
      </c>
      <c r="E18" s="352"/>
      <c r="F18" s="195">
        <v>1.2099999999999999E-3</v>
      </c>
      <c r="G18" s="195">
        <v>1.1800000000000001E-3</v>
      </c>
      <c r="H18" s="195">
        <v>1.1100000000000001E-3</v>
      </c>
      <c r="I18" s="195">
        <v>1.1100000000000001E-3</v>
      </c>
      <c r="J18" s="195">
        <v>1.1100000000000001E-3</v>
      </c>
      <c r="K18" s="195">
        <v>1.1100000000000001E-3</v>
      </c>
      <c r="L18" s="195">
        <v>1.1100000000000001E-3</v>
      </c>
      <c r="M18" s="194">
        <f t="shared" si="0"/>
        <v>1.1342857142857142E-3</v>
      </c>
      <c r="N18" s="194">
        <f>M18*Conversions!$D$5*Conversions!$D$9*Conversions!$D$6/M$5</f>
        <v>3.492769604646503E-7</v>
      </c>
      <c r="O18" s="352"/>
      <c r="P18" s="195">
        <v>1.2700000000000001E-3</v>
      </c>
      <c r="Q18" s="195">
        <v>1.32E-3</v>
      </c>
      <c r="R18" s="195">
        <v>1.23E-3</v>
      </c>
      <c r="S18" s="194">
        <f t="shared" si="1"/>
        <v>1.2733333333333336E-3</v>
      </c>
      <c r="T18" s="194">
        <f>S18*Conversions!$D$5*Conversions!$D$9*Conversions!$D$6/S$5</f>
        <v>3.9305505021100072E-7</v>
      </c>
      <c r="U18" s="194"/>
    </row>
    <row r="19" spans="1:21" x14ac:dyDescent="0.25">
      <c r="A19" s="279" t="s">
        <v>676</v>
      </c>
      <c r="B19" s="279" t="s">
        <v>736</v>
      </c>
      <c r="C19" s="278">
        <v>1.7700000000000001E-3</v>
      </c>
      <c r="D19" s="291">
        <f>C19*Conversions!$D$5*Conversions!$D$9*Conversions!$D$6/C$5</f>
        <v>6.9870216230446428E-7</v>
      </c>
      <c r="E19" s="352"/>
      <c r="F19" s="195">
        <v>2.3600000000000001E-3</v>
      </c>
      <c r="G19" s="195">
        <v>2.2899999999999999E-3</v>
      </c>
      <c r="H19" s="195">
        <v>2.1800000000000001E-3</v>
      </c>
      <c r="I19" s="195">
        <v>2.1800000000000001E-3</v>
      </c>
      <c r="J19" s="195">
        <v>2.1800000000000001E-3</v>
      </c>
      <c r="K19" s="195">
        <v>2.1800000000000001E-3</v>
      </c>
      <c r="L19" s="195">
        <v>2.1800000000000001E-3</v>
      </c>
      <c r="M19" s="194">
        <f t="shared" si="0"/>
        <v>2.2214285714285712E-3</v>
      </c>
      <c r="N19" s="291">
        <f>M19*Conversions!$D$5*Conversions!$D$9*Conversions!$D$6/M$5</f>
        <v>6.8403737219462358E-7</v>
      </c>
      <c r="O19" s="352"/>
      <c r="P19" s="195">
        <v>2.48E-3</v>
      </c>
      <c r="Q19" s="195">
        <v>2.5799999999999998E-3</v>
      </c>
      <c r="R19" s="195">
        <v>2.4099999999999998E-3</v>
      </c>
      <c r="S19" s="194">
        <f t="shared" si="1"/>
        <v>2.49E-3</v>
      </c>
      <c r="T19" s="291">
        <f>S19*Conversions!$D$5*Conversions!$D$9*Conversions!$D$6/S$5</f>
        <v>7.6861812174768988E-7</v>
      </c>
      <c r="U19" s="194"/>
    </row>
    <row r="20" spans="1:21" x14ac:dyDescent="0.25">
      <c r="A20" s="279" t="s">
        <v>560</v>
      </c>
      <c r="B20" s="279" t="s">
        <v>737</v>
      </c>
      <c r="C20" s="278">
        <v>3.0799999999999998E-3</v>
      </c>
      <c r="D20" s="291">
        <f>C20*Conversions!$D$5*Conversions!$D$9*Conversions!$D$6/C$5</f>
        <v>1.2158207118066385E-6</v>
      </c>
      <c r="E20" s="352"/>
      <c r="F20" s="195">
        <v>4.0200000000000001E-3</v>
      </c>
      <c r="G20" s="195">
        <v>3.9500000000000004E-3</v>
      </c>
      <c r="H20" s="195">
        <v>3.8E-3</v>
      </c>
      <c r="I20" s="195">
        <v>3.8E-3</v>
      </c>
      <c r="J20" s="195">
        <v>3.8E-3</v>
      </c>
      <c r="K20" s="195">
        <v>3.8E-3</v>
      </c>
      <c r="L20" s="195">
        <v>3.8E-3</v>
      </c>
      <c r="M20" s="194">
        <f t="shared" si="0"/>
        <v>3.8528571428571435E-3</v>
      </c>
      <c r="N20" s="291">
        <f>M20*Conversions!$D$5*Conversions!$D$9*Conversions!$D$6/M$5</f>
        <v>1.1863979374976854E-6</v>
      </c>
      <c r="O20" s="352"/>
      <c r="P20" s="195">
        <v>4.0600000000000002E-3</v>
      </c>
      <c r="Q20" s="195">
        <v>4.2399999999999998E-3</v>
      </c>
      <c r="R20" s="195">
        <v>4.0499999999999998E-3</v>
      </c>
      <c r="S20" s="194">
        <f t="shared" si="1"/>
        <v>4.1166666666666669E-3</v>
      </c>
      <c r="T20" s="291">
        <f>S20*Conversions!$D$5*Conversions!$D$9*Conversions!$D$6/S$5</f>
        <v>1.2707408036926333E-6</v>
      </c>
      <c r="U20" s="194"/>
    </row>
    <row r="21" spans="1:21" x14ac:dyDescent="0.25">
      <c r="T21" s="19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abSelected="1" workbookViewId="0">
      <selection activeCell="H10" sqref="H10"/>
    </sheetView>
  </sheetViews>
  <sheetFormatPr defaultRowHeight="15" x14ac:dyDescent="0.25"/>
  <cols>
    <col min="1" max="1" width="9.85546875" bestFit="1" customWidth="1"/>
    <col min="2" max="2" width="21" bestFit="1" customWidth="1"/>
    <col min="3" max="3" width="10.140625" bestFit="1" customWidth="1"/>
  </cols>
  <sheetData>
    <row r="1" spans="1:3" x14ac:dyDescent="0.25">
      <c r="A1" s="365" t="s">
        <v>1236</v>
      </c>
      <c r="B1" s="365" t="s">
        <v>1246</v>
      </c>
      <c r="C1" s="366" t="s">
        <v>1245</v>
      </c>
    </row>
    <row r="2" spans="1:3" x14ac:dyDescent="0.25">
      <c r="A2" t="s">
        <v>1237</v>
      </c>
      <c r="B2" t="s">
        <v>403</v>
      </c>
      <c r="C2" t="s">
        <v>1247</v>
      </c>
    </row>
    <row r="3" spans="1:3" x14ac:dyDescent="0.25">
      <c r="A3" t="s">
        <v>1244</v>
      </c>
      <c r="B3" t="s">
        <v>405</v>
      </c>
      <c r="C3" t="s">
        <v>1247</v>
      </c>
    </row>
    <row r="4" spans="1:3" x14ac:dyDescent="0.25">
      <c r="A4" t="s">
        <v>1243</v>
      </c>
      <c r="B4" t="s">
        <v>406</v>
      </c>
      <c r="C4" t="s">
        <v>1247</v>
      </c>
    </row>
    <row r="5" spans="1:3" x14ac:dyDescent="0.25">
      <c r="A5" t="s">
        <v>1242</v>
      </c>
      <c r="B5" t="s">
        <v>408</v>
      </c>
      <c r="C5" t="s">
        <v>1247</v>
      </c>
    </row>
    <row r="6" spans="1:3" x14ac:dyDescent="0.25">
      <c r="A6" t="s">
        <v>1241</v>
      </c>
      <c r="B6" t="s">
        <v>409</v>
      </c>
      <c r="C6" t="s">
        <v>1247</v>
      </c>
    </row>
    <row r="7" spans="1:3" x14ac:dyDescent="0.25">
      <c r="A7" t="s">
        <v>1240</v>
      </c>
      <c r="B7" t="s">
        <v>336</v>
      </c>
      <c r="C7" t="s">
        <v>1247</v>
      </c>
    </row>
    <row r="8" spans="1:3" x14ac:dyDescent="0.25">
      <c r="A8" t="s">
        <v>1239</v>
      </c>
      <c r="B8" t="s">
        <v>337</v>
      </c>
      <c r="C8" t="s">
        <v>1247</v>
      </c>
    </row>
    <row r="9" spans="1:3" x14ac:dyDescent="0.25">
      <c r="A9" t="s">
        <v>1238</v>
      </c>
      <c r="B9" t="s">
        <v>724</v>
      </c>
      <c r="C9" t="s">
        <v>1247</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L41"/>
  <sheetViews>
    <sheetView topLeftCell="A4" workbookViewId="0">
      <selection activeCell="D12" sqref="D12"/>
    </sheetView>
  </sheetViews>
  <sheetFormatPr defaultColWidth="9.140625" defaultRowHeight="12.75" x14ac:dyDescent="0.2"/>
  <cols>
    <col min="1" max="3" width="9.140625" style="304"/>
    <col min="4" max="4" width="13.42578125" style="304" bestFit="1" customWidth="1"/>
    <col min="5" max="5" width="16.42578125" style="304" bestFit="1" customWidth="1"/>
    <col min="6" max="6" width="23.42578125" style="304" customWidth="1"/>
    <col min="7" max="7" width="11" style="304" bestFit="1" customWidth="1"/>
    <col min="8" max="259" width="9.140625" style="304"/>
    <col min="260" max="260" width="13.42578125" style="304" bestFit="1" customWidth="1"/>
    <col min="261" max="261" width="16.42578125" style="304" bestFit="1" customWidth="1"/>
    <col min="262" max="262" width="23.42578125" style="304" customWidth="1"/>
    <col min="263" max="263" width="11" style="304" bestFit="1" customWidth="1"/>
    <col min="264" max="515" width="9.140625" style="304"/>
    <col min="516" max="516" width="13.42578125" style="304" bestFit="1" customWidth="1"/>
    <col min="517" max="517" width="16.42578125" style="304" bestFit="1" customWidth="1"/>
    <col min="518" max="518" width="23.42578125" style="304" customWidth="1"/>
    <col min="519" max="519" width="11" style="304" bestFit="1" customWidth="1"/>
    <col min="520" max="771" width="9.140625" style="304"/>
    <col min="772" max="772" width="13.42578125" style="304" bestFit="1" customWidth="1"/>
    <col min="773" max="773" width="16.42578125" style="304" bestFit="1" customWidth="1"/>
    <col min="774" max="774" width="23.42578125" style="304" customWidth="1"/>
    <col min="775" max="775" width="11" style="304" bestFit="1" customWidth="1"/>
    <col min="776" max="1027" width="9.140625" style="304"/>
    <col min="1028" max="1028" width="13.42578125" style="304" bestFit="1" customWidth="1"/>
    <col min="1029" max="1029" width="16.42578125" style="304" bestFit="1" customWidth="1"/>
    <col min="1030" max="1030" width="23.42578125" style="304" customWidth="1"/>
    <col min="1031" max="1031" width="11" style="304" bestFit="1" customWidth="1"/>
    <col min="1032" max="1283" width="9.140625" style="304"/>
    <col min="1284" max="1284" width="13.42578125" style="304" bestFit="1" customWidth="1"/>
    <col min="1285" max="1285" width="16.42578125" style="304" bestFit="1" customWidth="1"/>
    <col min="1286" max="1286" width="23.42578125" style="304" customWidth="1"/>
    <col min="1287" max="1287" width="11" style="304" bestFit="1" customWidth="1"/>
    <col min="1288" max="1539" width="9.140625" style="304"/>
    <col min="1540" max="1540" width="13.42578125" style="304" bestFit="1" customWidth="1"/>
    <col min="1541" max="1541" width="16.42578125" style="304" bestFit="1" customWidth="1"/>
    <col min="1542" max="1542" width="23.42578125" style="304" customWidth="1"/>
    <col min="1543" max="1543" width="11" style="304" bestFit="1" customWidth="1"/>
    <col min="1544" max="1795" width="9.140625" style="304"/>
    <col min="1796" max="1796" width="13.42578125" style="304" bestFit="1" customWidth="1"/>
    <col min="1797" max="1797" width="16.42578125" style="304" bestFit="1" customWidth="1"/>
    <col min="1798" max="1798" width="23.42578125" style="304" customWidth="1"/>
    <col min="1799" max="1799" width="11" style="304" bestFit="1" customWidth="1"/>
    <col min="1800" max="2051" width="9.140625" style="304"/>
    <col min="2052" max="2052" width="13.42578125" style="304" bestFit="1" customWidth="1"/>
    <col min="2053" max="2053" width="16.42578125" style="304" bestFit="1" customWidth="1"/>
    <col min="2054" max="2054" width="23.42578125" style="304" customWidth="1"/>
    <col min="2055" max="2055" width="11" style="304" bestFit="1" customWidth="1"/>
    <col min="2056" max="2307" width="9.140625" style="304"/>
    <col min="2308" max="2308" width="13.42578125" style="304" bestFit="1" customWidth="1"/>
    <col min="2309" max="2309" width="16.42578125" style="304" bestFit="1" customWidth="1"/>
    <col min="2310" max="2310" width="23.42578125" style="304" customWidth="1"/>
    <col min="2311" max="2311" width="11" style="304" bestFit="1" customWidth="1"/>
    <col min="2312" max="2563" width="9.140625" style="304"/>
    <col min="2564" max="2564" width="13.42578125" style="304" bestFit="1" customWidth="1"/>
    <col min="2565" max="2565" width="16.42578125" style="304" bestFit="1" customWidth="1"/>
    <col min="2566" max="2566" width="23.42578125" style="304" customWidth="1"/>
    <col min="2567" max="2567" width="11" style="304" bestFit="1" customWidth="1"/>
    <col min="2568" max="2819" width="9.140625" style="304"/>
    <col min="2820" max="2820" width="13.42578125" style="304" bestFit="1" customWidth="1"/>
    <col min="2821" max="2821" width="16.42578125" style="304" bestFit="1" customWidth="1"/>
    <col min="2822" max="2822" width="23.42578125" style="304" customWidth="1"/>
    <col min="2823" max="2823" width="11" style="304" bestFit="1" customWidth="1"/>
    <col min="2824" max="3075" width="9.140625" style="304"/>
    <col min="3076" max="3076" width="13.42578125" style="304" bestFit="1" customWidth="1"/>
    <col min="3077" max="3077" width="16.42578125" style="304" bestFit="1" customWidth="1"/>
    <col min="3078" max="3078" width="23.42578125" style="304" customWidth="1"/>
    <col min="3079" max="3079" width="11" style="304" bestFit="1" customWidth="1"/>
    <col min="3080" max="3331" width="9.140625" style="304"/>
    <col min="3332" max="3332" width="13.42578125" style="304" bestFit="1" customWidth="1"/>
    <col min="3333" max="3333" width="16.42578125" style="304" bestFit="1" customWidth="1"/>
    <col min="3334" max="3334" width="23.42578125" style="304" customWidth="1"/>
    <col min="3335" max="3335" width="11" style="304" bestFit="1" customWidth="1"/>
    <col min="3336" max="3587" width="9.140625" style="304"/>
    <col min="3588" max="3588" width="13.42578125" style="304" bestFit="1" customWidth="1"/>
    <col min="3589" max="3589" width="16.42578125" style="304" bestFit="1" customWidth="1"/>
    <col min="3590" max="3590" width="23.42578125" style="304" customWidth="1"/>
    <col min="3591" max="3591" width="11" style="304" bestFit="1" customWidth="1"/>
    <col min="3592" max="3843" width="9.140625" style="304"/>
    <col min="3844" max="3844" width="13.42578125" style="304" bestFit="1" customWidth="1"/>
    <col min="3845" max="3845" width="16.42578125" style="304" bestFit="1" customWidth="1"/>
    <col min="3846" max="3846" width="23.42578125" style="304" customWidth="1"/>
    <col min="3847" max="3847" width="11" style="304" bestFit="1" customWidth="1"/>
    <col min="3848" max="4099" width="9.140625" style="304"/>
    <col min="4100" max="4100" width="13.42578125" style="304" bestFit="1" customWidth="1"/>
    <col min="4101" max="4101" width="16.42578125" style="304" bestFit="1" customWidth="1"/>
    <col min="4102" max="4102" width="23.42578125" style="304" customWidth="1"/>
    <col min="4103" max="4103" width="11" style="304" bestFit="1" customWidth="1"/>
    <col min="4104" max="4355" width="9.140625" style="304"/>
    <col min="4356" max="4356" width="13.42578125" style="304" bestFit="1" customWidth="1"/>
    <col min="4357" max="4357" width="16.42578125" style="304" bestFit="1" customWidth="1"/>
    <col min="4358" max="4358" width="23.42578125" style="304" customWidth="1"/>
    <col min="4359" max="4359" width="11" style="304" bestFit="1" customWidth="1"/>
    <col min="4360" max="4611" width="9.140625" style="304"/>
    <col min="4612" max="4612" width="13.42578125" style="304" bestFit="1" customWidth="1"/>
    <col min="4613" max="4613" width="16.42578125" style="304" bestFit="1" customWidth="1"/>
    <col min="4614" max="4614" width="23.42578125" style="304" customWidth="1"/>
    <col min="4615" max="4615" width="11" style="304" bestFit="1" customWidth="1"/>
    <col min="4616" max="4867" width="9.140625" style="304"/>
    <col min="4868" max="4868" width="13.42578125" style="304" bestFit="1" customWidth="1"/>
    <col min="4869" max="4869" width="16.42578125" style="304" bestFit="1" customWidth="1"/>
    <col min="4870" max="4870" width="23.42578125" style="304" customWidth="1"/>
    <col min="4871" max="4871" width="11" style="304" bestFit="1" customWidth="1"/>
    <col min="4872" max="5123" width="9.140625" style="304"/>
    <col min="5124" max="5124" width="13.42578125" style="304" bestFit="1" customWidth="1"/>
    <col min="5125" max="5125" width="16.42578125" style="304" bestFit="1" customWidth="1"/>
    <col min="5126" max="5126" width="23.42578125" style="304" customWidth="1"/>
    <col min="5127" max="5127" width="11" style="304" bestFit="1" customWidth="1"/>
    <col min="5128" max="5379" width="9.140625" style="304"/>
    <col min="5380" max="5380" width="13.42578125" style="304" bestFit="1" customWidth="1"/>
    <col min="5381" max="5381" width="16.42578125" style="304" bestFit="1" customWidth="1"/>
    <col min="5382" max="5382" width="23.42578125" style="304" customWidth="1"/>
    <col min="5383" max="5383" width="11" style="304" bestFit="1" customWidth="1"/>
    <col min="5384" max="5635" width="9.140625" style="304"/>
    <col min="5636" max="5636" width="13.42578125" style="304" bestFit="1" customWidth="1"/>
    <col min="5637" max="5637" width="16.42578125" style="304" bestFit="1" customWidth="1"/>
    <col min="5638" max="5638" width="23.42578125" style="304" customWidth="1"/>
    <col min="5639" max="5639" width="11" style="304" bestFit="1" customWidth="1"/>
    <col min="5640" max="5891" width="9.140625" style="304"/>
    <col min="5892" max="5892" width="13.42578125" style="304" bestFit="1" customWidth="1"/>
    <col min="5893" max="5893" width="16.42578125" style="304" bestFit="1" customWidth="1"/>
    <col min="5894" max="5894" width="23.42578125" style="304" customWidth="1"/>
    <col min="5895" max="5895" width="11" style="304" bestFit="1" customWidth="1"/>
    <col min="5896" max="6147" width="9.140625" style="304"/>
    <col min="6148" max="6148" width="13.42578125" style="304" bestFit="1" customWidth="1"/>
    <col min="6149" max="6149" width="16.42578125" style="304" bestFit="1" customWidth="1"/>
    <col min="6150" max="6150" width="23.42578125" style="304" customWidth="1"/>
    <col min="6151" max="6151" width="11" style="304" bestFit="1" customWidth="1"/>
    <col min="6152" max="6403" width="9.140625" style="304"/>
    <col min="6404" max="6404" width="13.42578125" style="304" bestFit="1" customWidth="1"/>
    <col min="6405" max="6405" width="16.42578125" style="304" bestFit="1" customWidth="1"/>
    <col min="6406" max="6406" width="23.42578125" style="304" customWidth="1"/>
    <col min="6407" max="6407" width="11" style="304" bestFit="1" customWidth="1"/>
    <col min="6408" max="6659" width="9.140625" style="304"/>
    <col min="6660" max="6660" width="13.42578125" style="304" bestFit="1" customWidth="1"/>
    <col min="6661" max="6661" width="16.42578125" style="304" bestFit="1" customWidth="1"/>
    <col min="6662" max="6662" width="23.42578125" style="304" customWidth="1"/>
    <col min="6663" max="6663" width="11" style="304" bestFit="1" customWidth="1"/>
    <col min="6664" max="6915" width="9.140625" style="304"/>
    <col min="6916" max="6916" width="13.42578125" style="304" bestFit="1" customWidth="1"/>
    <col min="6917" max="6917" width="16.42578125" style="304" bestFit="1" customWidth="1"/>
    <col min="6918" max="6918" width="23.42578125" style="304" customWidth="1"/>
    <col min="6919" max="6919" width="11" style="304" bestFit="1" customWidth="1"/>
    <col min="6920" max="7171" width="9.140625" style="304"/>
    <col min="7172" max="7172" width="13.42578125" style="304" bestFit="1" customWidth="1"/>
    <col min="7173" max="7173" width="16.42578125" style="304" bestFit="1" customWidth="1"/>
    <col min="7174" max="7174" width="23.42578125" style="304" customWidth="1"/>
    <col min="7175" max="7175" width="11" style="304" bestFit="1" customWidth="1"/>
    <col min="7176" max="7427" width="9.140625" style="304"/>
    <col min="7428" max="7428" width="13.42578125" style="304" bestFit="1" customWidth="1"/>
    <col min="7429" max="7429" width="16.42578125" style="304" bestFit="1" customWidth="1"/>
    <col min="7430" max="7430" width="23.42578125" style="304" customWidth="1"/>
    <col min="7431" max="7431" width="11" style="304" bestFit="1" customWidth="1"/>
    <col min="7432" max="7683" width="9.140625" style="304"/>
    <col min="7684" max="7684" width="13.42578125" style="304" bestFit="1" customWidth="1"/>
    <col min="7685" max="7685" width="16.42578125" style="304" bestFit="1" customWidth="1"/>
    <col min="7686" max="7686" width="23.42578125" style="304" customWidth="1"/>
    <col min="7687" max="7687" width="11" style="304" bestFit="1" customWidth="1"/>
    <col min="7688" max="7939" width="9.140625" style="304"/>
    <col min="7940" max="7940" width="13.42578125" style="304" bestFit="1" customWidth="1"/>
    <col min="7941" max="7941" width="16.42578125" style="304" bestFit="1" customWidth="1"/>
    <col min="7942" max="7942" width="23.42578125" style="304" customWidth="1"/>
    <col min="7943" max="7943" width="11" style="304" bestFit="1" customWidth="1"/>
    <col min="7944" max="8195" width="9.140625" style="304"/>
    <col min="8196" max="8196" width="13.42578125" style="304" bestFit="1" customWidth="1"/>
    <col min="8197" max="8197" width="16.42578125" style="304" bestFit="1" customWidth="1"/>
    <col min="8198" max="8198" width="23.42578125" style="304" customWidth="1"/>
    <col min="8199" max="8199" width="11" style="304" bestFit="1" customWidth="1"/>
    <col min="8200" max="8451" width="9.140625" style="304"/>
    <col min="8452" max="8452" width="13.42578125" style="304" bestFit="1" customWidth="1"/>
    <col min="8453" max="8453" width="16.42578125" style="304" bestFit="1" customWidth="1"/>
    <col min="8454" max="8454" width="23.42578125" style="304" customWidth="1"/>
    <col min="8455" max="8455" width="11" style="304" bestFit="1" customWidth="1"/>
    <col min="8456" max="8707" width="9.140625" style="304"/>
    <col min="8708" max="8708" width="13.42578125" style="304" bestFit="1" customWidth="1"/>
    <col min="8709" max="8709" width="16.42578125" style="304" bestFit="1" customWidth="1"/>
    <col min="8710" max="8710" width="23.42578125" style="304" customWidth="1"/>
    <col min="8711" max="8711" width="11" style="304" bestFit="1" customWidth="1"/>
    <col min="8712" max="8963" width="9.140625" style="304"/>
    <col min="8964" max="8964" width="13.42578125" style="304" bestFit="1" customWidth="1"/>
    <col min="8965" max="8965" width="16.42578125" style="304" bestFit="1" customWidth="1"/>
    <col min="8966" max="8966" width="23.42578125" style="304" customWidth="1"/>
    <col min="8967" max="8967" width="11" style="304" bestFit="1" customWidth="1"/>
    <col min="8968" max="9219" width="9.140625" style="304"/>
    <col min="9220" max="9220" width="13.42578125" style="304" bestFit="1" customWidth="1"/>
    <col min="9221" max="9221" width="16.42578125" style="304" bestFit="1" customWidth="1"/>
    <col min="9222" max="9222" width="23.42578125" style="304" customWidth="1"/>
    <col min="9223" max="9223" width="11" style="304" bestFit="1" customWidth="1"/>
    <col min="9224" max="9475" width="9.140625" style="304"/>
    <col min="9476" max="9476" width="13.42578125" style="304" bestFit="1" customWidth="1"/>
    <col min="9477" max="9477" width="16.42578125" style="304" bestFit="1" customWidth="1"/>
    <col min="9478" max="9478" width="23.42578125" style="304" customWidth="1"/>
    <col min="9479" max="9479" width="11" style="304" bestFit="1" customWidth="1"/>
    <col min="9480" max="9731" width="9.140625" style="304"/>
    <col min="9732" max="9732" width="13.42578125" style="304" bestFit="1" customWidth="1"/>
    <col min="9733" max="9733" width="16.42578125" style="304" bestFit="1" customWidth="1"/>
    <col min="9734" max="9734" width="23.42578125" style="304" customWidth="1"/>
    <col min="9735" max="9735" width="11" style="304" bestFit="1" customWidth="1"/>
    <col min="9736" max="9987" width="9.140625" style="304"/>
    <col min="9988" max="9988" width="13.42578125" style="304" bestFit="1" customWidth="1"/>
    <col min="9989" max="9989" width="16.42578125" style="304" bestFit="1" customWidth="1"/>
    <col min="9990" max="9990" width="23.42578125" style="304" customWidth="1"/>
    <col min="9991" max="9991" width="11" style="304" bestFit="1" customWidth="1"/>
    <col min="9992" max="10243" width="9.140625" style="304"/>
    <col min="10244" max="10244" width="13.42578125" style="304" bestFit="1" customWidth="1"/>
    <col min="10245" max="10245" width="16.42578125" style="304" bestFit="1" customWidth="1"/>
    <col min="10246" max="10246" width="23.42578125" style="304" customWidth="1"/>
    <col min="10247" max="10247" width="11" style="304" bestFit="1" customWidth="1"/>
    <col min="10248" max="10499" width="9.140625" style="304"/>
    <col min="10500" max="10500" width="13.42578125" style="304" bestFit="1" customWidth="1"/>
    <col min="10501" max="10501" width="16.42578125" style="304" bestFit="1" customWidth="1"/>
    <col min="10502" max="10502" width="23.42578125" style="304" customWidth="1"/>
    <col min="10503" max="10503" width="11" style="304" bestFit="1" customWidth="1"/>
    <col min="10504" max="10755" width="9.140625" style="304"/>
    <col min="10756" max="10756" width="13.42578125" style="304" bestFit="1" customWidth="1"/>
    <col min="10757" max="10757" width="16.42578125" style="304" bestFit="1" customWidth="1"/>
    <col min="10758" max="10758" width="23.42578125" style="304" customWidth="1"/>
    <col min="10759" max="10759" width="11" style="304" bestFit="1" customWidth="1"/>
    <col min="10760" max="11011" width="9.140625" style="304"/>
    <col min="11012" max="11012" width="13.42578125" style="304" bestFit="1" customWidth="1"/>
    <col min="11013" max="11013" width="16.42578125" style="304" bestFit="1" customWidth="1"/>
    <col min="11014" max="11014" width="23.42578125" style="304" customWidth="1"/>
    <col min="11015" max="11015" width="11" style="304" bestFit="1" customWidth="1"/>
    <col min="11016" max="11267" width="9.140625" style="304"/>
    <col min="11268" max="11268" width="13.42578125" style="304" bestFit="1" customWidth="1"/>
    <col min="11269" max="11269" width="16.42578125" style="304" bestFit="1" customWidth="1"/>
    <col min="11270" max="11270" width="23.42578125" style="304" customWidth="1"/>
    <col min="11271" max="11271" width="11" style="304" bestFit="1" customWidth="1"/>
    <col min="11272" max="11523" width="9.140625" style="304"/>
    <col min="11524" max="11524" width="13.42578125" style="304" bestFit="1" customWidth="1"/>
    <col min="11525" max="11525" width="16.42578125" style="304" bestFit="1" customWidth="1"/>
    <col min="11526" max="11526" width="23.42578125" style="304" customWidth="1"/>
    <col min="11527" max="11527" width="11" style="304" bestFit="1" customWidth="1"/>
    <col min="11528" max="11779" width="9.140625" style="304"/>
    <col min="11780" max="11780" width="13.42578125" style="304" bestFit="1" customWidth="1"/>
    <col min="11781" max="11781" width="16.42578125" style="304" bestFit="1" customWidth="1"/>
    <col min="11782" max="11782" width="23.42578125" style="304" customWidth="1"/>
    <col min="11783" max="11783" width="11" style="304" bestFit="1" customWidth="1"/>
    <col min="11784" max="12035" width="9.140625" style="304"/>
    <col min="12036" max="12036" width="13.42578125" style="304" bestFit="1" customWidth="1"/>
    <col min="12037" max="12037" width="16.42578125" style="304" bestFit="1" customWidth="1"/>
    <col min="12038" max="12038" width="23.42578125" style="304" customWidth="1"/>
    <col min="12039" max="12039" width="11" style="304" bestFit="1" customWidth="1"/>
    <col min="12040" max="12291" width="9.140625" style="304"/>
    <col min="12292" max="12292" width="13.42578125" style="304" bestFit="1" customWidth="1"/>
    <col min="12293" max="12293" width="16.42578125" style="304" bestFit="1" customWidth="1"/>
    <col min="12294" max="12294" width="23.42578125" style="304" customWidth="1"/>
    <col min="12295" max="12295" width="11" style="304" bestFit="1" customWidth="1"/>
    <col min="12296" max="12547" width="9.140625" style="304"/>
    <col min="12548" max="12548" width="13.42578125" style="304" bestFit="1" customWidth="1"/>
    <col min="12549" max="12549" width="16.42578125" style="304" bestFit="1" customWidth="1"/>
    <col min="12550" max="12550" width="23.42578125" style="304" customWidth="1"/>
    <col min="12551" max="12551" width="11" style="304" bestFit="1" customWidth="1"/>
    <col min="12552" max="12803" width="9.140625" style="304"/>
    <col min="12804" max="12804" width="13.42578125" style="304" bestFit="1" customWidth="1"/>
    <col min="12805" max="12805" width="16.42578125" style="304" bestFit="1" customWidth="1"/>
    <col min="12806" max="12806" width="23.42578125" style="304" customWidth="1"/>
    <col min="12807" max="12807" width="11" style="304" bestFit="1" customWidth="1"/>
    <col min="12808" max="13059" width="9.140625" style="304"/>
    <col min="13060" max="13060" width="13.42578125" style="304" bestFit="1" customWidth="1"/>
    <col min="13061" max="13061" width="16.42578125" style="304" bestFit="1" customWidth="1"/>
    <col min="13062" max="13062" width="23.42578125" style="304" customWidth="1"/>
    <col min="13063" max="13063" width="11" style="304" bestFit="1" customWidth="1"/>
    <col min="13064" max="13315" width="9.140625" style="304"/>
    <col min="13316" max="13316" width="13.42578125" style="304" bestFit="1" customWidth="1"/>
    <col min="13317" max="13317" width="16.42578125" style="304" bestFit="1" customWidth="1"/>
    <col min="13318" max="13318" width="23.42578125" style="304" customWidth="1"/>
    <col min="13319" max="13319" width="11" style="304" bestFit="1" customWidth="1"/>
    <col min="13320" max="13571" width="9.140625" style="304"/>
    <col min="13572" max="13572" width="13.42578125" style="304" bestFit="1" customWidth="1"/>
    <col min="13573" max="13573" width="16.42578125" style="304" bestFit="1" customWidth="1"/>
    <col min="13574" max="13574" width="23.42578125" style="304" customWidth="1"/>
    <col min="13575" max="13575" width="11" style="304" bestFit="1" customWidth="1"/>
    <col min="13576" max="13827" width="9.140625" style="304"/>
    <col min="13828" max="13828" width="13.42578125" style="304" bestFit="1" customWidth="1"/>
    <col min="13829" max="13829" width="16.42578125" style="304" bestFit="1" customWidth="1"/>
    <col min="13830" max="13830" width="23.42578125" style="304" customWidth="1"/>
    <col min="13831" max="13831" width="11" style="304" bestFit="1" customWidth="1"/>
    <col min="13832" max="14083" width="9.140625" style="304"/>
    <col min="14084" max="14084" width="13.42578125" style="304" bestFit="1" customWidth="1"/>
    <col min="14085" max="14085" width="16.42578125" style="304" bestFit="1" customWidth="1"/>
    <col min="14086" max="14086" width="23.42578125" style="304" customWidth="1"/>
    <col min="14087" max="14087" width="11" style="304" bestFit="1" customWidth="1"/>
    <col min="14088" max="14339" width="9.140625" style="304"/>
    <col min="14340" max="14340" width="13.42578125" style="304" bestFit="1" customWidth="1"/>
    <col min="14341" max="14341" width="16.42578125" style="304" bestFit="1" customWidth="1"/>
    <col min="14342" max="14342" width="23.42578125" style="304" customWidth="1"/>
    <col min="14343" max="14343" width="11" style="304" bestFit="1" customWidth="1"/>
    <col min="14344" max="14595" width="9.140625" style="304"/>
    <col min="14596" max="14596" width="13.42578125" style="304" bestFit="1" customWidth="1"/>
    <col min="14597" max="14597" width="16.42578125" style="304" bestFit="1" customWidth="1"/>
    <col min="14598" max="14598" width="23.42578125" style="304" customWidth="1"/>
    <col min="14599" max="14599" width="11" style="304" bestFit="1" customWidth="1"/>
    <col min="14600" max="14851" width="9.140625" style="304"/>
    <col min="14852" max="14852" width="13.42578125" style="304" bestFit="1" customWidth="1"/>
    <col min="14853" max="14853" width="16.42578125" style="304" bestFit="1" customWidth="1"/>
    <col min="14854" max="14854" width="23.42578125" style="304" customWidth="1"/>
    <col min="14855" max="14855" width="11" style="304" bestFit="1" customWidth="1"/>
    <col min="14856" max="15107" width="9.140625" style="304"/>
    <col min="15108" max="15108" width="13.42578125" style="304" bestFit="1" customWidth="1"/>
    <col min="15109" max="15109" width="16.42578125" style="304" bestFit="1" customWidth="1"/>
    <col min="15110" max="15110" width="23.42578125" style="304" customWidth="1"/>
    <col min="15111" max="15111" width="11" style="304" bestFit="1" customWidth="1"/>
    <col min="15112" max="15363" width="9.140625" style="304"/>
    <col min="15364" max="15364" width="13.42578125" style="304" bestFit="1" customWidth="1"/>
    <col min="15365" max="15365" width="16.42578125" style="304" bestFit="1" customWidth="1"/>
    <col min="15366" max="15366" width="23.42578125" style="304" customWidth="1"/>
    <col min="15367" max="15367" width="11" style="304" bestFit="1" customWidth="1"/>
    <col min="15368" max="15619" width="9.140625" style="304"/>
    <col min="15620" max="15620" width="13.42578125" style="304" bestFit="1" customWidth="1"/>
    <col min="15621" max="15621" width="16.42578125" style="304" bestFit="1" customWidth="1"/>
    <col min="15622" max="15622" width="23.42578125" style="304" customWidth="1"/>
    <col min="15623" max="15623" width="11" style="304" bestFit="1" customWidth="1"/>
    <col min="15624" max="15875" width="9.140625" style="304"/>
    <col min="15876" max="15876" width="13.42578125" style="304" bestFit="1" customWidth="1"/>
    <col min="15877" max="15877" width="16.42578125" style="304" bestFit="1" customWidth="1"/>
    <col min="15878" max="15878" width="23.42578125" style="304" customWidth="1"/>
    <col min="15879" max="15879" width="11" style="304" bestFit="1" customWidth="1"/>
    <col min="15880" max="16131" width="9.140625" style="304"/>
    <col min="16132" max="16132" width="13.42578125" style="304" bestFit="1" customWidth="1"/>
    <col min="16133" max="16133" width="16.42578125" style="304" bestFit="1" customWidth="1"/>
    <col min="16134" max="16134" width="23.42578125" style="304" customWidth="1"/>
    <col min="16135" max="16135" width="11" style="304" bestFit="1" customWidth="1"/>
    <col min="16136" max="16384" width="9.140625" style="304"/>
  </cols>
  <sheetData>
    <row r="1" spans="1:38" ht="20.25" x14ac:dyDescent="0.3">
      <c r="A1" s="317"/>
      <c r="B1" s="319"/>
      <c r="C1" s="317"/>
      <c r="D1" s="319"/>
      <c r="E1" s="317"/>
      <c r="F1" s="317"/>
      <c r="G1" s="317"/>
      <c r="H1" s="318" t="s">
        <v>20</v>
      </c>
      <c r="I1" s="305"/>
      <c r="J1" s="305"/>
      <c r="K1" s="305"/>
      <c r="L1" s="305"/>
      <c r="M1" s="305"/>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row>
    <row r="2" spans="1:38" x14ac:dyDescent="0.2">
      <c r="A2" s="305"/>
      <c r="B2" s="487"/>
      <c r="C2" s="487"/>
      <c r="D2" s="487"/>
      <c r="E2" s="487"/>
      <c r="F2" s="316"/>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row>
    <row r="3" spans="1:38" x14ac:dyDescent="0.2">
      <c r="A3" s="305"/>
      <c r="B3" s="488" t="s">
        <v>229</v>
      </c>
      <c r="C3" s="488"/>
      <c r="D3" s="488"/>
      <c r="E3" s="488"/>
      <c r="F3" s="315" t="s">
        <v>63</v>
      </c>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row>
    <row r="4" spans="1:38" x14ac:dyDescent="0.2">
      <c r="A4" s="305"/>
      <c r="B4" s="305">
        <v>1</v>
      </c>
      <c r="C4" s="305" t="s">
        <v>304</v>
      </c>
      <c r="D4" s="305">
        <v>1</v>
      </c>
      <c r="E4" s="305" t="s">
        <v>305</v>
      </c>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row>
    <row r="5" spans="1:38" x14ac:dyDescent="0.2">
      <c r="A5" s="305"/>
      <c r="B5" s="305">
        <v>1</v>
      </c>
      <c r="C5" s="305" t="s">
        <v>374</v>
      </c>
      <c r="D5" s="305">
        <f>CONVERT(B5,C5,E5)</f>
        <v>3.5314666721488586E-2</v>
      </c>
      <c r="E5" s="305" t="s">
        <v>375</v>
      </c>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row>
    <row r="6" spans="1:38" x14ac:dyDescent="0.2">
      <c r="A6" s="305"/>
      <c r="B6" s="305">
        <v>1</v>
      </c>
      <c r="C6" s="305" t="s">
        <v>376</v>
      </c>
      <c r="D6" s="305">
        <f>CONVERT(B6,C6,E6)</f>
        <v>0.45359237000000002</v>
      </c>
      <c r="E6" s="305" t="s">
        <v>41</v>
      </c>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row>
    <row r="7" spans="1:38" x14ac:dyDescent="0.2">
      <c r="A7" s="305"/>
      <c r="B7" s="305">
        <v>1</v>
      </c>
      <c r="C7" s="305" t="s">
        <v>374</v>
      </c>
      <c r="D7" s="305">
        <f>CONVERT(B7,C7,E7)</f>
        <v>1E-3</v>
      </c>
      <c r="E7" s="305" t="s">
        <v>339</v>
      </c>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row>
    <row r="8" spans="1:38" x14ac:dyDescent="0.2">
      <c r="A8" s="305"/>
      <c r="B8" s="305">
        <v>1</v>
      </c>
      <c r="C8" s="305" t="s">
        <v>454</v>
      </c>
      <c r="D8" s="305">
        <v>1000</v>
      </c>
      <c r="E8" s="305" t="s">
        <v>41</v>
      </c>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row>
    <row r="9" spans="1:38" x14ac:dyDescent="0.2">
      <c r="A9" s="305"/>
      <c r="B9" s="313">
        <v>1</v>
      </c>
      <c r="C9" s="304" t="s">
        <v>372</v>
      </c>
      <c r="D9" s="304">
        <v>44.9</v>
      </c>
      <c r="E9" s="304" t="s">
        <v>371</v>
      </c>
      <c r="F9" s="304">
        <v>3</v>
      </c>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5"/>
    </row>
    <row r="10" spans="1:38" x14ac:dyDescent="0.2">
      <c r="A10" s="305"/>
      <c r="B10" s="314">
        <v>1</v>
      </c>
      <c r="C10" s="304" t="s">
        <v>380</v>
      </c>
      <c r="D10" s="304">
        <v>1.7</v>
      </c>
      <c r="E10" s="304" t="s">
        <v>377</v>
      </c>
      <c r="F10" s="304">
        <v>3</v>
      </c>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row>
    <row r="11" spans="1:38" x14ac:dyDescent="0.2">
      <c r="A11" s="305"/>
      <c r="B11" s="313">
        <v>1</v>
      </c>
      <c r="C11" s="304" t="s">
        <v>379</v>
      </c>
      <c r="D11" s="304">
        <f>AVERAGE(54.6,53,59.9,49.9)</f>
        <v>54.35</v>
      </c>
      <c r="E11" s="304" t="s">
        <v>378</v>
      </c>
      <c r="F11" s="304">
        <v>3</v>
      </c>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row>
    <row r="12" spans="1:38" x14ac:dyDescent="0.2">
      <c r="A12" s="305"/>
      <c r="B12" s="314">
        <v>1</v>
      </c>
      <c r="C12" s="304" t="s">
        <v>381</v>
      </c>
      <c r="D12" s="304">
        <v>0.8</v>
      </c>
      <c r="E12" s="304" t="s">
        <v>382</v>
      </c>
      <c r="F12" s="304">
        <v>3</v>
      </c>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row>
    <row r="13" spans="1:38" x14ac:dyDescent="0.2">
      <c r="A13" s="305"/>
      <c r="B13" s="313">
        <v>1</v>
      </c>
      <c r="C13" s="304" t="s">
        <v>375</v>
      </c>
      <c r="D13" s="304">
        <v>54.6</v>
      </c>
      <c r="E13" s="304" t="s">
        <v>455</v>
      </c>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row>
    <row r="14" spans="1:38" x14ac:dyDescent="0.2">
      <c r="A14" s="305"/>
      <c r="B14" s="312"/>
      <c r="C14" s="305"/>
      <c r="D14" s="305"/>
      <c r="E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row>
    <row r="15" spans="1:38" x14ac:dyDescent="0.2">
      <c r="A15" s="305"/>
      <c r="B15" s="306"/>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row>
    <row r="16" spans="1:38" x14ac:dyDescent="0.2">
      <c r="A16" s="305"/>
      <c r="B16" s="311"/>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5"/>
      <c r="AL16" s="305"/>
    </row>
    <row r="17" spans="1:38" x14ac:dyDescent="0.2">
      <c r="A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row>
    <row r="18" spans="1:38" x14ac:dyDescent="0.2">
      <c r="A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row>
    <row r="19" spans="1:38" x14ac:dyDescent="0.2">
      <c r="A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row>
    <row r="20" spans="1:38" x14ac:dyDescent="0.2">
      <c r="A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row>
    <row r="21" spans="1:38" x14ac:dyDescent="0.2">
      <c r="A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row>
    <row r="22" spans="1:38" x14ac:dyDescent="0.2">
      <c r="A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row>
    <row r="23" spans="1:38" x14ac:dyDescent="0.2">
      <c r="A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5"/>
    </row>
    <row r="24" spans="1:38" x14ac:dyDescent="0.2">
      <c r="A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row>
    <row r="25" spans="1:38" x14ac:dyDescent="0.2">
      <c r="A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row>
    <row r="26" spans="1:38" x14ac:dyDescent="0.2">
      <c r="A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row>
    <row r="27" spans="1:38" x14ac:dyDescent="0.2">
      <c r="A27" s="305"/>
      <c r="B27" s="305"/>
      <c r="C27" s="305"/>
      <c r="D27" s="305"/>
      <c r="E27" s="305"/>
      <c r="F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row>
    <row r="28" spans="1:38" x14ac:dyDescent="0.2">
      <c r="A28" s="305"/>
      <c r="B28" s="305"/>
      <c r="C28" s="305"/>
      <c r="D28" s="305"/>
      <c r="E28" s="305"/>
      <c r="F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row>
    <row r="29" spans="1:38" x14ac:dyDescent="0.2">
      <c r="A29" s="305"/>
      <c r="B29" s="308"/>
      <c r="C29" s="310"/>
      <c r="D29" s="308"/>
      <c r="E29" s="308"/>
      <c r="F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row>
    <row r="30" spans="1:38" x14ac:dyDescent="0.2">
      <c r="A30" s="305"/>
      <c r="B30" s="307"/>
      <c r="C30" s="309"/>
      <c r="D30" s="308"/>
      <c r="E30" s="308"/>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row>
    <row r="31" spans="1:38" x14ac:dyDescent="0.2">
      <c r="A31" s="305"/>
      <c r="B31" s="307"/>
      <c r="C31" s="309"/>
      <c r="D31" s="308"/>
      <c r="E31" s="308"/>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row>
    <row r="32" spans="1:38" x14ac:dyDescent="0.2">
      <c r="A32" s="305"/>
      <c r="B32" s="307"/>
      <c r="C32" s="309"/>
      <c r="D32" s="308"/>
      <c r="E32" s="308"/>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row>
    <row r="33" spans="2:10" x14ac:dyDescent="0.2">
      <c r="B33" s="307"/>
      <c r="C33" s="305"/>
      <c r="D33" s="305"/>
      <c r="E33" s="305"/>
    </row>
    <row r="34" spans="2:10" x14ac:dyDescent="0.2">
      <c r="B34" s="307"/>
      <c r="C34" s="305"/>
      <c r="D34" s="305"/>
      <c r="E34" s="305"/>
    </row>
    <row r="35" spans="2:10" x14ac:dyDescent="0.2">
      <c r="B35" s="306"/>
      <c r="C35" s="305"/>
      <c r="D35" s="305"/>
      <c r="E35" s="305"/>
    </row>
    <row r="41" spans="2:10" x14ac:dyDescent="0.2">
      <c r="J41" s="190"/>
    </row>
  </sheetData>
  <mergeCells count="2">
    <mergeCell ref="B2:E2"/>
    <mergeCell ref="B3:E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C8" sqref="C8"/>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9"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189" t="s">
        <v>230</v>
      </c>
      <c r="D3" s="189" t="s">
        <v>9</v>
      </c>
    </row>
    <row r="4" spans="1:38" ht="15" x14ac:dyDescent="0.25">
      <c r="C4" s="191">
        <v>1</v>
      </c>
      <c r="D4" s="491" t="s">
        <v>302</v>
      </c>
      <c r="E4" s="491"/>
      <c r="F4" s="491"/>
      <c r="G4" s="491"/>
      <c r="H4" s="491"/>
      <c r="I4" s="491"/>
      <c r="J4" s="491"/>
      <c r="K4" s="491"/>
      <c r="L4" s="491"/>
    </row>
    <row r="5" spans="1:38" ht="15" x14ac:dyDescent="0.2">
      <c r="C5" s="191">
        <v>2</v>
      </c>
      <c r="D5" s="489" t="s">
        <v>400</v>
      </c>
      <c r="E5" s="490"/>
      <c r="F5" s="490"/>
      <c r="G5" s="490"/>
      <c r="H5" s="490"/>
      <c r="I5" s="490"/>
      <c r="J5" s="490"/>
      <c r="K5" s="490"/>
      <c r="L5" s="490"/>
    </row>
    <row r="6" spans="1:38" ht="15" x14ac:dyDescent="0.2">
      <c r="C6" s="191">
        <v>3</v>
      </c>
      <c r="D6" s="489" t="s">
        <v>401</v>
      </c>
      <c r="E6" s="490"/>
      <c r="F6" s="490"/>
      <c r="G6" s="490"/>
      <c r="H6" s="490"/>
      <c r="I6" s="490"/>
      <c r="J6" s="490"/>
      <c r="K6" s="490"/>
      <c r="L6" s="490"/>
    </row>
    <row r="7" spans="1:38" ht="15" x14ac:dyDescent="0.2">
      <c r="C7" s="191">
        <v>4</v>
      </c>
      <c r="D7" s="489" t="s">
        <v>303</v>
      </c>
      <c r="E7" s="490"/>
      <c r="F7" s="490"/>
      <c r="G7" s="490"/>
      <c r="H7" s="490"/>
      <c r="I7" s="490"/>
      <c r="J7" s="490"/>
      <c r="K7" s="490"/>
      <c r="L7" s="490"/>
    </row>
    <row r="8" spans="1:38" ht="15" x14ac:dyDescent="0.2">
      <c r="C8" s="191"/>
      <c r="D8" s="489"/>
      <c r="E8" s="490"/>
      <c r="F8" s="490"/>
      <c r="G8" s="490"/>
      <c r="H8" s="490"/>
      <c r="I8" s="490"/>
      <c r="J8" s="490"/>
      <c r="K8" s="490"/>
      <c r="L8" s="490"/>
    </row>
    <row r="9" spans="1:38" ht="15" x14ac:dyDescent="0.2">
      <c r="C9" s="191"/>
      <c r="D9" s="489"/>
      <c r="E9" s="490"/>
      <c r="F9" s="490"/>
      <c r="G9" s="490"/>
      <c r="H9" s="490"/>
      <c r="I9" s="490"/>
      <c r="J9" s="490"/>
      <c r="K9" s="490"/>
      <c r="L9" s="490"/>
    </row>
    <row r="10" spans="1:38" ht="15" x14ac:dyDescent="0.2">
      <c r="C10" s="191"/>
      <c r="D10" s="489"/>
      <c r="E10" s="490"/>
      <c r="F10" s="490"/>
      <c r="G10" s="490"/>
      <c r="H10" s="490"/>
      <c r="I10" s="490"/>
      <c r="J10" s="490"/>
      <c r="K10" s="490"/>
      <c r="L10" s="490"/>
    </row>
    <row r="11" spans="1:38" ht="15" x14ac:dyDescent="0.2">
      <c r="C11" s="191"/>
      <c r="D11" s="489"/>
      <c r="E11" s="490"/>
      <c r="F11" s="490"/>
      <c r="G11" s="490"/>
      <c r="H11" s="490"/>
      <c r="I11" s="490"/>
      <c r="J11" s="490"/>
      <c r="K11" s="490"/>
      <c r="L11" s="490"/>
    </row>
    <row r="12" spans="1:38" ht="15" x14ac:dyDescent="0.2">
      <c r="C12" s="191"/>
      <c r="D12" s="489"/>
      <c r="E12" s="490"/>
      <c r="F12" s="490"/>
      <c r="G12" s="490"/>
      <c r="H12" s="490"/>
      <c r="I12" s="490"/>
      <c r="J12" s="490"/>
      <c r="K12" s="490"/>
      <c r="L12" s="490"/>
    </row>
    <row r="13" spans="1:38" ht="15" x14ac:dyDescent="0.2">
      <c r="C13" s="191"/>
      <c r="D13" s="489"/>
      <c r="E13" s="490"/>
      <c r="F13" s="490"/>
      <c r="G13" s="490"/>
      <c r="H13" s="490"/>
      <c r="I13" s="490"/>
      <c r="J13" s="490"/>
      <c r="K13" s="490"/>
      <c r="L13" s="490"/>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
  <sheetViews>
    <sheetView zoomScaleNormal="100" workbookViewId="0">
      <selection activeCell="E33" sqref="E33"/>
    </sheetView>
  </sheetViews>
  <sheetFormatPr defaultRowHeight="15" x14ac:dyDescent="0.25"/>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4"/>
  <sheetViews>
    <sheetView topLeftCell="A233" workbookViewId="0">
      <selection activeCell="C256" sqref="C256"/>
    </sheetView>
  </sheetViews>
  <sheetFormatPr defaultRowHeight="15" x14ac:dyDescent="0.25"/>
  <cols>
    <col min="1" max="1" width="39.85546875" customWidth="1"/>
    <col min="2" max="2" width="17.140625" customWidth="1"/>
    <col min="3" max="3" width="32.42578125" customWidth="1"/>
    <col min="6" max="6" width="23" bestFit="1" customWidth="1"/>
  </cols>
  <sheetData>
    <row r="1" spans="1:6" x14ac:dyDescent="0.25">
      <c r="A1" s="358" t="s">
        <v>1235</v>
      </c>
    </row>
    <row r="2" spans="1:6" x14ac:dyDescent="0.25">
      <c r="A2" t="s">
        <v>1068</v>
      </c>
      <c r="C2" t="s">
        <v>1069</v>
      </c>
      <c r="D2" t="s">
        <v>1070</v>
      </c>
    </row>
    <row r="3" spans="1:6" x14ac:dyDescent="0.25">
      <c r="A3" t="s">
        <v>1071</v>
      </c>
      <c r="C3" s="359" t="s">
        <v>833</v>
      </c>
      <c r="E3" t="s">
        <v>1072</v>
      </c>
      <c r="F3" s="360">
        <v>42439.503750000003</v>
      </c>
    </row>
    <row r="4" spans="1:6" x14ac:dyDescent="0.25">
      <c r="A4" t="s">
        <v>1073</v>
      </c>
    </row>
    <row r="5" spans="1:6" x14ac:dyDescent="0.25">
      <c r="A5" t="s">
        <v>1074</v>
      </c>
    </row>
    <row r="6" spans="1:6" x14ac:dyDescent="0.25">
      <c r="A6" t="s">
        <v>1075</v>
      </c>
    </row>
    <row r="7" spans="1:6" x14ac:dyDescent="0.25">
      <c r="A7" t="s">
        <v>1076</v>
      </c>
    </row>
    <row r="8" spans="1:6" x14ac:dyDescent="0.25">
      <c r="A8" t="s">
        <v>1077</v>
      </c>
    </row>
    <row r="9" spans="1:6" x14ac:dyDescent="0.25">
      <c r="A9" t="s">
        <v>1078</v>
      </c>
    </row>
    <row r="10" spans="1:6" x14ac:dyDescent="0.25">
      <c r="A10" t="s">
        <v>1079</v>
      </c>
    </row>
    <row r="12" spans="1:6" x14ac:dyDescent="0.25">
      <c r="A12" t="s">
        <v>1080</v>
      </c>
    </row>
    <row r="14" spans="1:6" x14ac:dyDescent="0.25">
      <c r="A14" t="s">
        <v>1081</v>
      </c>
    </row>
    <row r="15" spans="1:6" x14ac:dyDescent="0.25">
      <c r="A15" t="s">
        <v>1082</v>
      </c>
    </row>
    <row r="16" spans="1:6" ht="45" x14ac:dyDescent="0.25">
      <c r="A16" s="359" t="s">
        <v>398</v>
      </c>
    </row>
    <row r="17" spans="1:4" ht="150" x14ac:dyDescent="0.25">
      <c r="A17" s="359" t="s">
        <v>1207</v>
      </c>
    </row>
    <row r="18" spans="1:4" x14ac:dyDescent="0.25">
      <c r="A18" t="s">
        <v>1083</v>
      </c>
    </row>
    <row r="19" spans="1:4" x14ac:dyDescent="0.25">
      <c r="A19" t="s">
        <v>1084</v>
      </c>
      <c r="B19" t="s">
        <v>1085</v>
      </c>
    </row>
    <row r="20" spans="1:4" x14ac:dyDescent="0.25">
      <c r="A20" t="s">
        <v>1085</v>
      </c>
    </row>
    <row r="22" spans="1:4" x14ac:dyDescent="0.25">
      <c r="A22" t="s">
        <v>1086</v>
      </c>
    </row>
    <row r="24" spans="1:4" x14ac:dyDescent="0.25">
      <c r="A24" t="s">
        <v>1087</v>
      </c>
    </row>
    <row r="25" spans="1:4" x14ac:dyDescent="0.25">
      <c r="A25" t="s">
        <v>1088</v>
      </c>
      <c r="B25" s="359">
        <v>2007</v>
      </c>
      <c r="C25" t="s">
        <v>1089</v>
      </c>
      <c r="D25">
        <v>0</v>
      </c>
    </row>
    <row r="26" spans="1:4" x14ac:dyDescent="0.25">
      <c r="A26" t="s">
        <v>1087</v>
      </c>
    </row>
    <row r="27" spans="1:4" x14ac:dyDescent="0.25">
      <c r="A27" t="s">
        <v>1090</v>
      </c>
    </row>
    <row r="28" spans="1:4" x14ac:dyDescent="0.25">
      <c r="A28" t="s">
        <v>1091</v>
      </c>
    </row>
    <row r="29" spans="1:4" x14ac:dyDescent="0.25">
      <c r="A29" t="s">
        <v>1092</v>
      </c>
    </row>
    <row r="30" spans="1:4" x14ac:dyDescent="0.25">
      <c r="A30" t="s">
        <v>1093</v>
      </c>
    </row>
    <row r="31" spans="1:4" x14ac:dyDescent="0.25">
      <c r="A31" s="359" t="s">
        <v>815</v>
      </c>
    </row>
    <row r="32" spans="1:4" x14ac:dyDescent="0.25">
      <c r="A32" s="359"/>
    </row>
    <row r="33" spans="1:2" x14ac:dyDescent="0.25">
      <c r="A33" t="s">
        <v>1094</v>
      </c>
    </row>
    <row r="34" spans="1:2" x14ac:dyDescent="0.25">
      <c r="A34" t="s">
        <v>1095</v>
      </c>
    </row>
    <row r="36" spans="1:2" x14ac:dyDescent="0.25">
      <c r="A36" t="s">
        <v>1096</v>
      </c>
    </row>
    <row r="38" spans="1:2" x14ac:dyDescent="0.25">
      <c r="A38" t="s">
        <v>1097</v>
      </c>
    </row>
    <row r="40" spans="1:2" x14ac:dyDescent="0.25">
      <c r="A40" t="s">
        <v>1098</v>
      </c>
      <c r="B40" t="s">
        <v>1099</v>
      </c>
    </row>
    <row r="41" spans="1:2" x14ac:dyDescent="0.25">
      <c r="A41" t="s">
        <v>1100</v>
      </c>
    </row>
    <row r="43" spans="1:2" x14ac:dyDescent="0.25">
      <c r="A43" t="s">
        <v>1101</v>
      </c>
    </row>
    <row r="44" spans="1:2" x14ac:dyDescent="0.25">
      <c r="A44" t="s">
        <v>1102</v>
      </c>
    </row>
    <row r="46" spans="1:2" x14ac:dyDescent="0.25">
      <c r="A46" t="s">
        <v>1103</v>
      </c>
    </row>
    <row r="47" spans="1:2" x14ac:dyDescent="0.25">
      <c r="A47" t="s">
        <v>1104</v>
      </c>
    </row>
    <row r="48" spans="1:2" x14ac:dyDescent="0.25">
      <c r="A48" t="s">
        <v>1105</v>
      </c>
    </row>
    <row r="49" spans="1:1" x14ac:dyDescent="0.25">
      <c r="A49" s="358" t="s">
        <v>1106</v>
      </c>
    </row>
    <row r="50" spans="1:1" x14ac:dyDescent="0.25">
      <c r="A50" s="359" t="s">
        <v>103</v>
      </c>
    </row>
    <row r="51" spans="1:1" x14ac:dyDescent="0.25">
      <c r="A51" s="359" t="s">
        <v>104</v>
      </c>
    </row>
    <row r="52" spans="1:1" x14ac:dyDescent="0.25">
      <c r="A52" t="s">
        <v>1107</v>
      </c>
    </row>
    <row r="53" spans="1:1" x14ac:dyDescent="0.25">
      <c r="A53" s="358" t="s">
        <v>1108</v>
      </c>
    </row>
    <row r="55" spans="1:1" x14ac:dyDescent="0.25">
      <c r="A55" s="358" t="s">
        <v>1109</v>
      </c>
    </row>
    <row r="57" spans="1:1" x14ac:dyDescent="0.25">
      <c r="A57" s="358" t="s">
        <v>1110</v>
      </c>
    </row>
    <row r="59" spans="1:1" x14ac:dyDescent="0.25">
      <c r="A59" t="s">
        <v>1111</v>
      </c>
    </row>
    <row r="61" spans="1:1" x14ac:dyDescent="0.25">
      <c r="A61" t="s">
        <v>1112</v>
      </c>
    </row>
    <row r="62" spans="1:1" x14ac:dyDescent="0.25">
      <c r="A62" t="s">
        <v>1113</v>
      </c>
    </row>
    <row r="64" spans="1:1" x14ac:dyDescent="0.25">
      <c r="A64" t="s">
        <v>1114</v>
      </c>
    </row>
    <row r="66" spans="1:3" x14ac:dyDescent="0.25">
      <c r="A66" t="s">
        <v>1115</v>
      </c>
    </row>
    <row r="68" spans="1:3" x14ac:dyDescent="0.25">
      <c r="A68" t="s">
        <v>1116</v>
      </c>
    </row>
    <row r="70" spans="1:3" x14ac:dyDescent="0.25">
      <c r="A70" t="s">
        <v>1117</v>
      </c>
    </row>
    <row r="72" spans="1:3" x14ac:dyDescent="0.25">
      <c r="A72" t="s">
        <v>1118</v>
      </c>
    </row>
    <row r="74" spans="1:3" x14ac:dyDescent="0.25">
      <c r="A74" t="s">
        <v>1119</v>
      </c>
    </row>
    <row r="76" spans="1:3" x14ac:dyDescent="0.25">
      <c r="A76" t="s">
        <v>1120</v>
      </c>
    </row>
    <row r="78" spans="1:3" x14ac:dyDescent="0.25">
      <c r="A78" t="s">
        <v>1121</v>
      </c>
      <c r="B78" s="361">
        <v>0</v>
      </c>
      <c r="C78" t="s">
        <v>1122</v>
      </c>
    </row>
    <row r="80" spans="1:3" x14ac:dyDescent="0.25">
      <c r="A80" t="s">
        <v>1123</v>
      </c>
    </row>
    <row r="82" spans="1:6" x14ac:dyDescent="0.25">
      <c r="A82" t="s">
        <v>1124</v>
      </c>
    </row>
    <row r="84" spans="1:6" x14ac:dyDescent="0.25">
      <c r="A84" t="s">
        <v>1125</v>
      </c>
    </row>
    <row r="86" spans="1:6" x14ac:dyDescent="0.25">
      <c r="A86" t="s">
        <v>1126</v>
      </c>
    </row>
    <row r="88" spans="1:6" x14ac:dyDescent="0.25">
      <c r="A88" t="s">
        <v>97</v>
      </c>
    </row>
    <row r="89" spans="1:6" x14ac:dyDescent="0.25">
      <c r="A89" t="s">
        <v>1127</v>
      </c>
    </row>
    <row r="91" spans="1:6" x14ac:dyDescent="0.25">
      <c r="A91" t="s">
        <v>1128</v>
      </c>
    </row>
    <row r="92" spans="1:6" x14ac:dyDescent="0.25">
      <c r="A92" t="s">
        <v>1129</v>
      </c>
    </row>
    <row r="94" spans="1:6" x14ac:dyDescent="0.25">
      <c r="A94" t="s">
        <v>1130</v>
      </c>
    </row>
    <row r="95" spans="1:6" x14ac:dyDescent="0.25">
      <c r="A95" t="s">
        <v>1131</v>
      </c>
      <c r="B95" t="s">
        <v>1132</v>
      </c>
      <c r="C95" t="s">
        <v>1133</v>
      </c>
      <c r="D95" t="s">
        <v>1134</v>
      </c>
      <c r="E95" t="s">
        <v>1135</v>
      </c>
      <c r="F95" t="s">
        <v>1136</v>
      </c>
    </row>
    <row r="96" spans="1:6" x14ac:dyDescent="0.25">
      <c r="A96" t="s">
        <v>1137</v>
      </c>
    </row>
    <row r="97" spans="1:1" x14ac:dyDescent="0.25">
      <c r="A97" t="s">
        <v>1138</v>
      </c>
    </row>
    <row r="98" spans="1:1" x14ac:dyDescent="0.25">
      <c r="A98" t="s">
        <v>1139</v>
      </c>
    </row>
    <row r="100" spans="1:1" x14ac:dyDescent="0.25">
      <c r="A100" t="s">
        <v>1140</v>
      </c>
    </row>
    <row r="102" spans="1:1" x14ac:dyDescent="0.25">
      <c r="A102" t="s">
        <v>1141</v>
      </c>
    </row>
    <row r="104" spans="1:1" x14ac:dyDescent="0.25">
      <c r="A104" s="358" t="s">
        <v>1142</v>
      </c>
    </row>
    <row r="105" spans="1:1" x14ac:dyDescent="0.25">
      <c r="A105" s="358" t="s">
        <v>1142</v>
      </c>
    </row>
    <row r="107" spans="1:1" x14ac:dyDescent="0.25">
      <c r="A107" t="s">
        <v>1143</v>
      </c>
    </row>
    <row r="108" spans="1:1" x14ac:dyDescent="0.25">
      <c r="A108" t="s">
        <v>1143</v>
      </c>
    </row>
    <row r="109" spans="1:1" x14ac:dyDescent="0.25">
      <c r="A109" s="358" t="s">
        <v>1144</v>
      </c>
    </row>
    <row r="110" spans="1:1" x14ac:dyDescent="0.25">
      <c r="A110" t="s">
        <v>1145</v>
      </c>
    </row>
    <row r="112" spans="1:1" x14ac:dyDescent="0.25">
      <c r="A112" t="s">
        <v>1146</v>
      </c>
    </row>
    <row r="113" spans="1:10" x14ac:dyDescent="0.25">
      <c r="A113" t="s">
        <v>1147</v>
      </c>
      <c r="B113" t="s">
        <v>1148</v>
      </c>
    </row>
    <row r="114" spans="1:10" x14ac:dyDescent="0.25">
      <c r="A114" s="358" t="s">
        <v>1149</v>
      </c>
    </row>
    <row r="115" spans="1:10" x14ac:dyDescent="0.25">
      <c r="A115" t="s">
        <v>1150</v>
      </c>
    </row>
    <row r="116" spans="1:10" x14ac:dyDescent="0.25">
      <c r="A116" t="s">
        <v>1151</v>
      </c>
    </row>
    <row r="117" spans="1:10" x14ac:dyDescent="0.25">
      <c r="A117" t="s">
        <v>1152</v>
      </c>
    </row>
    <row r="119" spans="1:10" x14ac:dyDescent="0.25">
      <c r="A119" t="s">
        <v>140</v>
      </c>
      <c r="B119" t="s">
        <v>832</v>
      </c>
    </row>
    <row r="120" spans="1:10" x14ac:dyDescent="0.25">
      <c r="A120" t="s">
        <v>1153</v>
      </c>
      <c r="B120" s="358" t="s">
        <v>1154</v>
      </c>
    </row>
    <row r="121" spans="1:10" x14ac:dyDescent="0.25">
      <c r="A121" t="s">
        <v>1155</v>
      </c>
    </row>
    <row r="123" spans="1:10" x14ac:dyDescent="0.25">
      <c r="A123" t="s">
        <v>1156</v>
      </c>
    </row>
    <row r="124" spans="1:10" x14ac:dyDescent="0.25">
      <c r="A124" t="s">
        <v>69</v>
      </c>
    </row>
    <row r="125" spans="1:10" x14ac:dyDescent="0.25">
      <c r="A125" t="s">
        <v>69</v>
      </c>
      <c r="B125" t="s">
        <v>58</v>
      </c>
      <c r="C125" t="s">
        <v>59</v>
      </c>
      <c r="D125" t="s">
        <v>1157</v>
      </c>
      <c r="E125" t="s">
        <v>1158</v>
      </c>
      <c r="F125" t="s">
        <v>1159</v>
      </c>
      <c r="G125" t="s">
        <v>1160</v>
      </c>
    </row>
    <row r="126" spans="1:10" x14ac:dyDescent="0.25">
      <c r="A126" s="362" t="s">
        <v>415</v>
      </c>
      <c r="B126" s="362"/>
      <c r="C126" s="362">
        <v>1</v>
      </c>
      <c r="D126" s="362"/>
      <c r="E126" s="362"/>
      <c r="F126" s="363">
        <v>0</v>
      </c>
      <c r="G126" s="362" t="s">
        <v>416</v>
      </c>
      <c r="H126" s="362"/>
      <c r="I126" s="362"/>
      <c r="J126" s="362"/>
    </row>
    <row r="127" spans="1:10" x14ac:dyDescent="0.25">
      <c r="A127" s="362" t="s">
        <v>325</v>
      </c>
      <c r="B127" s="362"/>
      <c r="C127" s="362">
        <v>2290</v>
      </c>
      <c r="D127" s="362"/>
      <c r="E127" s="362"/>
      <c r="F127" s="363">
        <v>0</v>
      </c>
      <c r="G127" s="362" t="s">
        <v>326</v>
      </c>
      <c r="H127" s="362"/>
      <c r="I127" s="362"/>
      <c r="J127" s="362"/>
    </row>
    <row r="128" spans="1:10" x14ac:dyDescent="0.25">
      <c r="A128" s="362" t="s">
        <v>240</v>
      </c>
      <c r="B128" s="362"/>
      <c r="C128" s="362">
        <v>0.21263726320610571</v>
      </c>
      <c r="D128" s="362">
        <v>0.21263726320610571</v>
      </c>
      <c r="E128" s="362"/>
      <c r="F128" s="363">
        <v>0</v>
      </c>
      <c r="G128" s="362" t="s">
        <v>935</v>
      </c>
      <c r="H128" s="362"/>
      <c r="I128" s="362"/>
      <c r="J128" s="362"/>
    </row>
    <row r="129" spans="1:10" x14ac:dyDescent="0.25">
      <c r="A129" s="362" t="s">
        <v>748</v>
      </c>
      <c r="B129" s="362"/>
      <c r="C129" s="362">
        <v>0</v>
      </c>
      <c r="D129" s="362">
        <v>0</v>
      </c>
      <c r="E129" s="362"/>
      <c r="F129" s="363">
        <v>0</v>
      </c>
      <c r="G129" s="362" t="s">
        <v>936</v>
      </c>
      <c r="H129" s="362"/>
      <c r="I129" s="362"/>
      <c r="J129" s="362"/>
    </row>
    <row r="130" spans="1:10" x14ac:dyDescent="0.25">
      <c r="A130" s="362" t="s">
        <v>749</v>
      </c>
      <c r="B130" s="362"/>
      <c r="C130" s="362">
        <v>0</v>
      </c>
      <c r="D130" s="362">
        <v>0</v>
      </c>
      <c r="E130" s="362"/>
      <c r="F130" s="363">
        <v>0</v>
      </c>
      <c r="G130" s="362" t="s">
        <v>937</v>
      </c>
      <c r="H130" s="362"/>
      <c r="I130" s="362"/>
      <c r="J130" s="362"/>
    </row>
    <row r="131" spans="1:10" x14ac:dyDescent="0.25">
      <c r="A131" s="362" t="s">
        <v>750</v>
      </c>
      <c r="B131" s="362"/>
      <c r="C131" s="362">
        <v>0</v>
      </c>
      <c r="D131" s="362">
        <v>0</v>
      </c>
      <c r="E131" s="362"/>
      <c r="F131" s="363">
        <v>0</v>
      </c>
      <c r="G131" s="362" t="s">
        <v>938</v>
      </c>
      <c r="H131" s="362"/>
      <c r="I131" s="362"/>
      <c r="J131" s="362"/>
    </row>
    <row r="132" spans="1:10" x14ac:dyDescent="0.25">
      <c r="A132" s="362" t="s">
        <v>751</v>
      </c>
      <c r="B132" s="362"/>
      <c r="C132" s="362">
        <v>0</v>
      </c>
      <c r="D132" s="362">
        <v>0</v>
      </c>
      <c r="E132" s="362"/>
      <c r="F132" s="363">
        <v>0</v>
      </c>
      <c r="G132" s="362" t="s">
        <v>939</v>
      </c>
      <c r="H132" s="362"/>
      <c r="I132" s="362"/>
      <c r="J132" s="362"/>
    </row>
    <row r="133" spans="1:10" x14ac:dyDescent="0.25">
      <c r="A133" s="362" t="s">
        <v>752</v>
      </c>
      <c r="B133" s="362"/>
      <c r="C133" s="362">
        <v>0</v>
      </c>
      <c r="D133" s="362">
        <v>0</v>
      </c>
      <c r="E133" s="362"/>
      <c r="F133" s="363">
        <v>0</v>
      </c>
      <c r="G133" s="362" t="s">
        <v>940</v>
      </c>
      <c r="H133" s="362"/>
      <c r="I133" s="362"/>
      <c r="J133" s="362"/>
    </row>
    <row r="134" spans="1:10" x14ac:dyDescent="0.25">
      <c r="A134" s="362"/>
      <c r="B134" s="362"/>
      <c r="C134" s="362"/>
      <c r="D134" s="362" t="e">
        <v>#N/A</v>
      </c>
      <c r="E134" s="362"/>
      <c r="F134" s="363">
        <v>0</v>
      </c>
      <c r="G134" s="362"/>
      <c r="H134" s="362"/>
      <c r="I134" s="362"/>
      <c r="J134" s="362"/>
    </row>
    <row r="135" spans="1:10" x14ac:dyDescent="0.25">
      <c r="A135" s="362" t="s">
        <v>753</v>
      </c>
      <c r="B135" s="362"/>
      <c r="C135" s="362">
        <v>0.29980520433531621</v>
      </c>
      <c r="D135" s="362">
        <v>0.29980520433531621</v>
      </c>
      <c r="E135" s="362"/>
      <c r="F135" s="363">
        <v>0</v>
      </c>
      <c r="G135" s="362" t="s">
        <v>1061</v>
      </c>
      <c r="H135" s="362"/>
      <c r="I135" s="362"/>
      <c r="J135" s="362"/>
    </row>
    <row r="136" spans="1:10" x14ac:dyDescent="0.25">
      <c r="A136" s="362" t="s">
        <v>754</v>
      </c>
      <c r="B136" s="362"/>
      <c r="C136" s="362">
        <v>1.105799140960124E-2</v>
      </c>
      <c r="D136" s="362">
        <v>1.105799140960124E-2</v>
      </c>
      <c r="E136" s="362"/>
      <c r="F136" s="363">
        <v>0</v>
      </c>
      <c r="G136" s="362" t="s">
        <v>1034</v>
      </c>
      <c r="H136" s="362"/>
      <c r="I136" s="362"/>
      <c r="J136" s="362"/>
    </row>
    <row r="137" spans="1:10" x14ac:dyDescent="0.25">
      <c r="A137" s="362" t="s">
        <v>755</v>
      </c>
      <c r="B137" s="362"/>
      <c r="C137" s="362">
        <v>1.3507270415111778E-2</v>
      </c>
      <c r="D137" s="362">
        <v>1.3507270415111778E-2</v>
      </c>
      <c r="E137" s="362"/>
      <c r="F137" s="363">
        <v>0</v>
      </c>
      <c r="G137" s="362" t="s">
        <v>1035</v>
      </c>
      <c r="H137" s="362"/>
      <c r="I137" s="362"/>
      <c r="J137" s="362"/>
    </row>
    <row r="138" spans="1:10" x14ac:dyDescent="0.25">
      <c r="A138" s="362" t="s">
        <v>756</v>
      </c>
      <c r="B138" s="362"/>
      <c r="C138" s="362">
        <v>8.7549943155385468E-4</v>
      </c>
      <c r="D138" s="362">
        <v>8.7549943155385468E-4</v>
      </c>
      <c r="E138" s="362"/>
      <c r="F138" s="363">
        <v>0</v>
      </c>
      <c r="G138" s="362" t="s">
        <v>1036</v>
      </c>
      <c r="H138" s="362"/>
      <c r="I138" s="362"/>
      <c r="J138" s="362"/>
    </row>
    <row r="139" spans="1:10" x14ac:dyDescent="0.25">
      <c r="A139" s="362" t="s">
        <v>757</v>
      </c>
      <c r="B139" s="362"/>
      <c r="C139" s="362">
        <v>8.8226937994057234E-3</v>
      </c>
      <c r="D139" s="362">
        <v>8.8226937994057234E-3</v>
      </c>
      <c r="E139" s="362"/>
      <c r="F139" s="363">
        <v>0</v>
      </c>
      <c r="G139" s="362" t="s">
        <v>1037</v>
      </c>
      <c r="H139" s="362"/>
      <c r="I139" s="362"/>
      <c r="J139" s="362"/>
    </row>
    <row r="140" spans="1:10" x14ac:dyDescent="0.25">
      <c r="A140" s="362" t="s">
        <v>758</v>
      </c>
      <c r="B140" s="362"/>
      <c r="C140" s="362">
        <v>3.0144836628131656E-3</v>
      </c>
      <c r="D140" s="362">
        <v>3.0144836628131656E-3</v>
      </c>
      <c r="E140" s="362"/>
      <c r="F140" s="363">
        <v>0</v>
      </c>
      <c r="G140" s="362" t="s">
        <v>1038</v>
      </c>
      <c r="H140" s="362"/>
      <c r="I140" s="362"/>
      <c r="J140" s="362"/>
    </row>
    <row r="141" spans="1:10" x14ac:dyDescent="0.25">
      <c r="A141" s="362" t="s">
        <v>452</v>
      </c>
      <c r="B141" s="362"/>
      <c r="C141" s="362">
        <v>5.0894646903060668E-3</v>
      </c>
      <c r="D141" s="362">
        <v>5.0894646903060668E-3</v>
      </c>
      <c r="E141" s="362"/>
      <c r="F141" s="363">
        <v>0</v>
      </c>
      <c r="G141" s="362" t="s">
        <v>1039</v>
      </c>
      <c r="H141" s="362"/>
      <c r="I141" s="362"/>
      <c r="J141" s="362"/>
    </row>
    <row r="142" spans="1:10" x14ac:dyDescent="0.25">
      <c r="A142" s="362" t="s">
        <v>453</v>
      </c>
      <c r="B142" s="362"/>
      <c r="C142" s="362">
        <v>4.5326481049770889E-3</v>
      </c>
      <c r="D142" s="362">
        <v>4.5326481049770889E-3</v>
      </c>
      <c r="E142" s="362"/>
      <c r="F142" s="363">
        <v>0</v>
      </c>
      <c r="G142" s="362" t="s">
        <v>1040</v>
      </c>
      <c r="H142" s="362"/>
      <c r="I142" s="362"/>
      <c r="J142" s="362"/>
    </row>
    <row r="143" spans="1:10" x14ac:dyDescent="0.25">
      <c r="A143" s="362" t="s">
        <v>759</v>
      </c>
      <c r="B143" s="362"/>
      <c r="C143" s="362">
        <v>2.2480005503104544E-4</v>
      </c>
      <c r="D143" s="362">
        <v>2.2480005503104544E-4</v>
      </c>
      <c r="E143" s="362"/>
      <c r="F143" s="363">
        <v>0</v>
      </c>
      <c r="G143" s="362" t="s">
        <v>1041</v>
      </c>
      <c r="H143" s="362"/>
      <c r="I143" s="362"/>
      <c r="J143" s="362"/>
    </row>
    <row r="144" spans="1:10" x14ac:dyDescent="0.25">
      <c r="A144" s="362" t="s">
        <v>760</v>
      </c>
      <c r="B144" s="362"/>
      <c r="C144" s="362">
        <v>1.066511906006096E-2</v>
      </c>
      <c r="D144" s="362">
        <v>1.066511906006096E-2</v>
      </c>
      <c r="E144" s="362"/>
      <c r="F144" s="363">
        <v>0</v>
      </c>
      <c r="G144" s="362" t="s">
        <v>1042</v>
      </c>
      <c r="H144" s="362"/>
      <c r="I144" s="362"/>
      <c r="J144" s="362"/>
    </row>
    <row r="145" spans="1:10" x14ac:dyDescent="0.25">
      <c r="A145" s="362" t="s">
        <v>231</v>
      </c>
      <c r="B145" s="362"/>
      <c r="C145" s="362">
        <v>0.30931648670294853</v>
      </c>
      <c r="D145" s="362">
        <v>0.30931648670294853</v>
      </c>
      <c r="E145" s="362"/>
      <c r="F145" s="363">
        <v>0</v>
      </c>
      <c r="G145" s="362" t="s">
        <v>1043</v>
      </c>
      <c r="H145" s="362"/>
      <c r="I145" s="362"/>
      <c r="J145" s="362"/>
    </row>
    <row r="146" spans="1:10" x14ac:dyDescent="0.25">
      <c r="A146" s="362" t="s">
        <v>761</v>
      </c>
      <c r="B146" s="362"/>
      <c r="C146" s="362">
        <v>2.2167871049375412E-2</v>
      </c>
      <c r="D146" s="362">
        <v>2.2167871049375412E-2</v>
      </c>
      <c r="E146" s="362"/>
      <c r="F146" s="363">
        <v>0</v>
      </c>
      <c r="G146" s="362" t="s">
        <v>1044</v>
      </c>
      <c r="H146" s="362"/>
      <c r="I146" s="362"/>
      <c r="J146" s="362"/>
    </row>
    <row r="147" spans="1:10" x14ac:dyDescent="0.25">
      <c r="A147" s="362" t="s">
        <v>232</v>
      </c>
      <c r="B147" s="362"/>
      <c r="C147" s="362">
        <v>4.3907549921337575E-4</v>
      </c>
      <c r="D147" s="362">
        <v>4.3907549921337575E-4</v>
      </c>
      <c r="E147" s="362"/>
      <c r="F147" s="363">
        <v>0</v>
      </c>
      <c r="G147" s="362" t="s">
        <v>1045</v>
      </c>
      <c r="H147" s="362"/>
      <c r="I147" s="362"/>
      <c r="J147" s="362"/>
    </row>
    <row r="148" spans="1:10" x14ac:dyDescent="0.25">
      <c r="A148" s="362" t="s">
        <v>233</v>
      </c>
      <c r="B148" s="362"/>
      <c r="C148" s="362">
        <v>1.6813167332400596E-6</v>
      </c>
      <c r="D148" s="362">
        <v>1.6813167332400596E-6</v>
      </c>
      <c r="E148" s="362"/>
      <c r="F148" s="363">
        <v>0</v>
      </c>
      <c r="G148" s="362" t="s">
        <v>1046</v>
      </c>
      <c r="H148" s="362"/>
      <c r="I148" s="362"/>
      <c r="J148" s="362"/>
    </row>
    <row r="149" spans="1:10" x14ac:dyDescent="0.25">
      <c r="A149" s="362" t="s">
        <v>327</v>
      </c>
      <c r="B149" s="362"/>
      <c r="C149" s="362">
        <v>3.2911754527926436E-3</v>
      </c>
      <c r="D149" s="362">
        <v>3.2911754527926436E-3</v>
      </c>
      <c r="E149" s="362"/>
      <c r="F149" s="363">
        <v>0</v>
      </c>
      <c r="G149" s="362" t="s">
        <v>1047</v>
      </c>
      <c r="H149" s="362"/>
      <c r="I149" s="362"/>
      <c r="J149" s="362"/>
    </row>
    <row r="150" spans="1:10" x14ac:dyDescent="0.25">
      <c r="A150" s="362" t="s">
        <v>234</v>
      </c>
      <c r="B150" s="362"/>
      <c r="C150" s="362">
        <v>3.855495876605314E-3</v>
      </c>
      <c r="D150" s="362">
        <v>3.855495876605314E-3</v>
      </c>
      <c r="E150" s="362"/>
      <c r="F150" s="363">
        <v>0</v>
      </c>
      <c r="G150" s="362" t="s">
        <v>1048</v>
      </c>
      <c r="H150" s="362"/>
      <c r="I150" s="362"/>
      <c r="J150" s="362"/>
    </row>
    <row r="151" spans="1:10" x14ac:dyDescent="0.25">
      <c r="A151" s="362" t="s">
        <v>762</v>
      </c>
      <c r="B151" s="362"/>
      <c r="C151" s="362">
        <v>4.940670071172883E-3</v>
      </c>
      <c r="D151" s="362">
        <v>4.940670071172883E-3</v>
      </c>
      <c r="E151" s="362"/>
      <c r="F151" s="363">
        <v>0</v>
      </c>
      <c r="G151" s="362" t="s">
        <v>1049</v>
      </c>
      <c r="H151" s="362"/>
      <c r="I151" s="362"/>
      <c r="J151" s="362"/>
    </row>
    <row r="152" spans="1:10" x14ac:dyDescent="0.25">
      <c r="A152" s="362" t="s">
        <v>775</v>
      </c>
      <c r="B152" s="362"/>
      <c r="C152" s="362">
        <v>8.0465275811290009E-5</v>
      </c>
      <c r="D152" s="362">
        <v>8.0465275811290009E-5</v>
      </c>
      <c r="E152" s="362"/>
      <c r="F152" s="363">
        <v>0</v>
      </c>
      <c r="G152" s="362" t="s">
        <v>1050</v>
      </c>
      <c r="H152" s="362"/>
      <c r="I152" s="362"/>
      <c r="J152" s="362"/>
    </row>
    <row r="153" spans="1:10" x14ac:dyDescent="0.25">
      <c r="A153" s="362" t="s">
        <v>763</v>
      </c>
      <c r="B153" s="362"/>
      <c r="C153" s="362">
        <v>8.8913912736232414E-5</v>
      </c>
      <c r="D153" s="362">
        <v>8.8913912736232414E-5</v>
      </c>
      <c r="E153" s="362"/>
      <c r="F153" s="363">
        <v>0</v>
      </c>
      <c r="G153" s="362" t="s">
        <v>1051</v>
      </c>
      <c r="H153" s="362"/>
      <c r="I153" s="362"/>
      <c r="J153" s="362"/>
    </row>
    <row r="154" spans="1:10" x14ac:dyDescent="0.25">
      <c r="A154" s="362" t="s">
        <v>512</v>
      </c>
      <c r="B154" s="362"/>
      <c r="C154" s="362">
        <v>4.9205648973279906E-2</v>
      </c>
      <c r="D154" s="362">
        <v>4.9205648973279906E-2</v>
      </c>
      <c r="E154" s="362"/>
      <c r="F154" s="363">
        <v>0</v>
      </c>
      <c r="G154" s="362" t="s">
        <v>1052</v>
      </c>
      <c r="H154" s="362"/>
      <c r="I154" s="362"/>
      <c r="J154" s="362"/>
    </row>
    <row r="155" spans="1:10" x14ac:dyDescent="0.25">
      <c r="A155" s="362"/>
      <c r="B155" s="362"/>
      <c r="C155" s="362"/>
      <c r="D155" s="362" t="e">
        <v>#N/A</v>
      </c>
      <c r="E155" s="362"/>
      <c r="F155" s="363">
        <v>0</v>
      </c>
      <c r="G155" s="362"/>
      <c r="H155" s="362"/>
      <c r="I155" s="362"/>
      <c r="J155" s="362"/>
    </row>
    <row r="156" spans="1:10" x14ac:dyDescent="0.25">
      <c r="A156" s="362" t="s">
        <v>764</v>
      </c>
      <c r="B156" s="362"/>
      <c r="C156" s="362">
        <v>1.8924430229125078E-7</v>
      </c>
      <c r="D156" s="362">
        <v>1.8924430229125078E-7</v>
      </c>
      <c r="E156" s="362"/>
      <c r="F156" s="363">
        <v>0</v>
      </c>
      <c r="G156" s="362" t="s">
        <v>941</v>
      </c>
      <c r="H156" s="362"/>
      <c r="I156" s="362"/>
      <c r="J156" s="362"/>
    </row>
    <row r="157" spans="1:10" x14ac:dyDescent="0.25">
      <c r="A157" s="362" t="s">
        <v>765</v>
      </c>
      <c r="B157" s="362"/>
      <c r="C157" s="362">
        <v>2.0849831681005046E-7</v>
      </c>
      <c r="D157" s="362">
        <v>2.0849831681005046E-7</v>
      </c>
      <c r="E157" s="362"/>
      <c r="F157" s="363">
        <v>0</v>
      </c>
      <c r="G157" s="362" t="s">
        <v>942</v>
      </c>
      <c r="H157" s="362"/>
      <c r="I157" s="362"/>
      <c r="J157" s="362"/>
    </row>
    <row r="158" spans="1:10" x14ac:dyDescent="0.25">
      <c r="A158" s="362" t="s">
        <v>513</v>
      </c>
      <c r="B158" s="362"/>
      <c r="C158" s="362">
        <v>1.5990314034892649E-4</v>
      </c>
      <c r="D158" s="362">
        <v>1.5990314034892649E-4</v>
      </c>
      <c r="E158" s="362"/>
      <c r="F158" s="363">
        <v>0</v>
      </c>
      <c r="G158" s="362" t="s">
        <v>943</v>
      </c>
      <c r="H158" s="362"/>
      <c r="I158" s="362"/>
      <c r="J158" s="362"/>
    </row>
    <row r="159" spans="1:10" x14ac:dyDescent="0.25">
      <c r="A159" s="362" t="s">
        <v>766</v>
      </c>
      <c r="B159" s="362"/>
      <c r="C159" s="362">
        <v>3.0299216715071059E-6</v>
      </c>
      <c r="D159" s="362">
        <v>3.0299216715071059E-6</v>
      </c>
      <c r="E159" s="362"/>
      <c r="F159" s="363">
        <v>0</v>
      </c>
      <c r="G159" s="362" t="s">
        <v>944</v>
      </c>
      <c r="H159" s="362"/>
      <c r="I159" s="362"/>
      <c r="J159" s="362"/>
    </row>
    <row r="160" spans="1:10" x14ac:dyDescent="0.25">
      <c r="A160" s="362" t="s">
        <v>767</v>
      </c>
      <c r="B160" s="362"/>
      <c r="C160" s="362">
        <v>1.2958520547731506E-6</v>
      </c>
      <c r="D160" s="362">
        <v>1.2958520547731506E-6</v>
      </c>
      <c r="E160" s="362"/>
      <c r="F160" s="363">
        <v>0</v>
      </c>
      <c r="G160" s="362" t="s">
        <v>945</v>
      </c>
      <c r="H160" s="362"/>
      <c r="I160" s="362"/>
      <c r="J160" s="362"/>
    </row>
    <row r="161" spans="1:10" x14ac:dyDescent="0.25">
      <c r="A161" s="362" t="s">
        <v>236</v>
      </c>
      <c r="B161" s="362"/>
      <c r="C161" s="362">
        <v>1.6540798526717015E-6</v>
      </c>
      <c r="D161" s="362">
        <v>1.6540798526717015E-6</v>
      </c>
      <c r="E161" s="362"/>
      <c r="F161" s="363">
        <v>0</v>
      </c>
      <c r="G161" s="362" t="s">
        <v>946</v>
      </c>
      <c r="H161" s="362"/>
      <c r="I161" s="362"/>
      <c r="J161" s="362"/>
    </row>
    <row r="162" spans="1:10" x14ac:dyDescent="0.25">
      <c r="A162" s="362" t="s">
        <v>768</v>
      </c>
      <c r="B162" s="362"/>
      <c r="C162" s="362">
        <v>4.8481031784452238E-9</v>
      </c>
      <c r="D162" s="362">
        <v>4.8481031784452238E-9</v>
      </c>
      <c r="E162" s="362"/>
      <c r="F162" s="363">
        <v>0</v>
      </c>
      <c r="G162" s="362" t="s">
        <v>947</v>
      </c>
      <c r="H162" s="362"/>
      <c r="I162" s="362"/>
      <c r="J162" s="362"/>
    </row>
    <row r="163" spans="1:10" x14ac:dyDescent="0.25">
      <c r="A163" s="362" t="s">
        <v>769</v>
      </c>
      <c r="B163" s="362"/>
      <c r="C163" s="362">
        <v>1.2121490214572046E-9</v>
      </c>
      <c r="D163" s="362">
        <v>1.2121490214572046E-9</v>
      </c>
      <c r="E163" s="362"/>
      <c r="F163" s="363">
        <v>0</v>
      </c>
      <c r="G163" s="362" t="s">
        <v>948</v>
      </c>
      <c r="H163" s="362"/>
      <c r="I163" s="362"/>
      <c r="J163" s="362"/>
    </row>
    <row r="164" spans="1:10" x14ac:dyDescent="0.25">
      <c r="A164" s="362" t="s">
        <v>770</v>
      </c>
      <c r="B164" s="362"/>
      <c r="C164" s="362">
        <v>1.3533759689317616E-4</v>
      </c>
      <c r="D164" s="362">
        <v>1.3533759689317616E-4</v>
      </c>
      <c r="E164" s="362"/>
      <c r="F164" s="363">
        <v>0</v>
      </c>
      <c r="G164" s="362" t="s">
        <v>949</v>
      </c>
      <c r="H164" s="362"/>
      <c r="I164" s="362"/>
      <c r="J164" s="362"/>
    </row>
    <row r="165" spans="1:10" x14ac:dyDescent="0.25">
      <c r="A165" s="362" t="s">
        <v>771</v>
      </c>
      <c r="B165" s="362"/>
      <c r="C165" s="362">
        <v>1.4545903439552623E-8</v>
      </c>
      <c r="D165" s="362">
        <v>1.4545903439552623E-8</v>
      </c>
      <c r="E165" s="362"/>
      <c r="F165" s="363">
        <v>0</v>
      </c>
      <c r="G165" s="362" t="s">
        <v>950</v>
      </c>
      <c r="H165" s="362"/>
      <c r="I165" s="362"/>
      <c r="J165" s="362"/>
    </row>
    <row r="166" spans="1:10" x14ac:dyDescent="0.25">
      <c r="A166" s="362" t="s">
        <v>237</v>
      </c>
      <c r="B166" s="362"/>
      <c r="C166" s="362">
        <v>5.150540789435069E-5</v>
      </c>
      <c r="D166" s="362">
        <v>5.150540789435069E-5</v>
      </c>
      <c r="E166" s="362"/>
      <c r="F166" s="363">
        <v>0</v>
      </c>
      <c r="G166" s="362" t="s">
        <v>951</v>
      </c>
      <c r="H166" s="362"/>
      <c r="I166" s="362"/>
      <c r="J166" s="362"/>
    </row>
    <row r="167" spans="1:10" x14ac:dyDescent="0.25">
      <c r="A167" s="362" t="s">
        <v>238</v>
      </c>
      <c r="B167" s="362"/>
      <c r="C167" s="362">
        <v>1.0203273933257675</v>
      </c>
      <c r="D167" s="362">
        <v>1.0203273933257675</v>
      </c>
      <c r="E167" s="362"/>
      <c r="F167" s="363">
        <v>0</v>
      </c>
      <c r="G167" s="362" t="s">
        <v>952</v>
      </c>
      <c r="H167" s="362"/>
      <c r="I167" s="362"/>
      <c r="J167" s="362"/>
    </row>
    <row r="168" spans="1:10" x14ac:dyDescent="0.25">
      <c r="A168" s="362" t="s">
        <v>772</v>
      </c>
      <c r="B168" s="362"/>
      <c r="C168" s="362">
        <v>7.2775810388201812E-9</v>
      </c>
      <c r="D168" s="362">
        <v>7.2775810388201812E-9</v>
      </c>
      <c r="E168" s="362"/>
      <c r="F168" s="363">
        <v>0</v>
      </c>
      <c r="G168" s="362" t="s">
        <v>953</v>
      </c>
      <c r="H168" s="362"/>
      <c r="I168" s="362"/>
      <c r="J168" s="362"/>
    </row>
    <row r="169" spans="1:10" x14ac:dyDescent="0.25">
      <c r="A169" s="362" t="s">
        <v>239</v>
      </c>
      <c r="B169" s="362"/>
      <c r="C169" s="362">
        <v>1.1951388616587626E-6</v>
      </c>
      <c r="D169" s="362">
        <v>1.1951388616587626E-6</v>
      </c>
      <c r="E169" s="362"/>
      <c r="F169" s="363">
        <v>0</v>
      </c>
      <c r="G169" s="362" t="s">
        <v>954</v>
      </c>
      <c r="H169" s="362"/>
      <c r="I169" s="362"/>
      <c r="J169" s="362"/>
    </row>
    <row r="170" spans="1:10" x14ac:dyDescent="0.25">
      <c r="A170" s="362" t="s">
        <v>241</v>
      </c>
      <c r="B170" s="362"/>
      <c r="C170" s="362">
        <v>2.8440245956187147E-4</v>
      </c>
      <c r="D170" s="362">
        <v>2.8440245956187147E-4</v>
      </c>
      <c r="E170" s="362"/>
      <c r="F170" s="363">
        <v>0</v>
      </c>
      <c r="G170" s="362" t="s">
        <v>955</v>
      </c>
      <c r="H170" s="362"/>
      <c r="I170" s="362"/>
      <c r="J170" s="362"/>
    </row>
    <row r="171" spans="1:10" x14ac:dyDescent="0.25">
      <c r="A171" s="362" t="s">
        <v>242</v>
      </c>
      <c r="B171" s="362"/>
      <c r="C171" s="362">
        <v>1.6099187235994913E-5</v>
      </c>
      <c r="D171" s="362">
        <v>1.6099187235994913E-5</v>
      </c>
      <c r="E171" s="362"/>
      <c r="F171" s="363">
        <v>0</v>
      </c>
      <c r="G171" s="362" t="s">
        <v>956</v>
      </c>
      <c r="H171" s="362"/>
      <c r="I171" s="362"/>
      <c r="J171" s="362"/>
    </row>
    <row r="172" spans="1:10" x14ac:dyDescent="0.25">
      <c r="A172" s="362" t="s">
        <v>243</v>
      </c>
      <c r="B172" s="362"/>
      <c r="C172" s="362">
        <v>1.3419830637071923E-8</v>
      </c>
      <c r="D172" s="362">
        <v>1.3419830637071923E-8</v>
      </c>
      <c r="E172" s="362"/>
      <c r="F172" s="363">
        <v>0</v>
      </c>
      <c r="G172" s="362" t="s">
        <v>957</v>
      </c>
      <c r="H172" s="362"/>
      <c r="I172" s="362"/>
      <c r="J172" s="362"/>
    </row>
    <row r="173" spans="1:10" x14ac:dyDescent="0.25">
      <c r="A173" s="362" t="s">
        <v>244</v>
      </c>
      <c r="B173" s="362"/>
      <c r="C173" s="362">
        <v>8.5677994402339378E-6</v>
      </c>
      <c r="D173" s="362">
        <v>8.5677994402339378E-6</v>
      </c>
      <c r="E173" s="362"/>
      <c r="F173" s="363">
        <v>0</v>
      </c>
      <c r="G173" s="362" t="s">
        <v>958</v>
      </c>
      <c r="H173" s="362"/>
      <c r="I173" s="362"/>
      <c r="J173" s="362"/>
    </row>
    <row r="174" spans="1:10" x14ac:dyDescent="0.25">
      <c r="A174" s="362" t="s">
        <v>245</v>
      </c>
      <c r="B174" s="362"/>
      <c r="C174" s="362">
        <v>5.2834826698880443E-4</v>
      </c>
      <c r="D174" s="362">
        <v>5.2834826698880443E-4</v>
      </c>
      <c r="E174" s="362"/>
      <c r="F174" s="363">
        <v>0</v>
      </c>
      <c r="G174" s="362" t="s">
        <v>959</v>
      </c>
      <c r="H174" s="362"/>
      <c r="I174" s="362"/>
      <c r="J174" s="362"/>
    </row>
    <row r="175" spans="1:10" x14ac:dyDescent="0.25">
      <c r="A175" s="362" t="s">
        <v>246</v>
      </c>
      <c r="B175" s="362"/>
      <c r="C175" s="362">
        <v>7.049540137179848E-4</v>
      </c>
      <c r="D175" s="362">
        <v>7.049540137179848E-4</v>
      </c>
      <c r="E175" s="362"/>
      <c r="F175" s="363">
        <v>0</v>
      </c>
      <c r="G175" s="362" t="s">
        <v>960</v>
      </c>
      <c r="H175" s="362"/>
      <c r="I175" s="362"/>
      <c r="J175" s="362"/>
    </row>
    <row r="176" spans="1:10" x14ac:dyDescent="0.25">
      <c r="A176" s="362" t="s">
        <v>773</v>
      </c>
      <c r="B176" s="362"/>
      <c r="C176" s="362">
        <v>2.8403049665019173E-4</v>
      </c>
      <c r="D176" s="362">
        <v>2.8403049665019173E-4</v>
      </c>
      <c r="E176" s="362"/>
      <c r="F176" s="363">
        <v>0</v>
      </c>
      <c r="G176" s="362" t="s">
        <v>961</v>
      </c>
      <c r="H176" s="362"/>
      <c r="I176" s="362"/>
      <c r="J176" s="362"/>
    </row>
    <row r="177" spans="1:10" x14ac:dyDescent="0.25">
      <c r="A177" s="362" t="s">
        <v>514</v>
      </c>
      <c r="B177" s="362"/>
      <c r="C177" s="362">
        <v>6.6638318284737662E-6</v>
      </c>
      <c r="D177" s="362">
        <v>6.6638318284737662E-6</v>
      </c>
      <c r="E177" s="362"/>
      <c r="F177" s="363">
        <v>0</v>
      </c>
      <c r="G177" s="362" t="s">
        <v>962</v>
      </c>
      <c r="H177" s="362"/>
      <c r="I177" s="362"/>
      <c r="J177" s="362"/>
    </row>
    <row r="178" spans="1:10" x14ac:dyDescent="0.25">
      <c r="A178" s="362" t="s">
        <v>516</v>
      </c>
      <c r="B178" s="362"/>
      <c r="C178" s="362">
        <v>4.1133556469074829E-2</v>
      </c>
      <c r="D178" s="362">
        <v>4.1133556469074829E-2</v>
      </c>
      <c r="E178" s="362"/>
      <c r="F178" s="363">
        <v>0</v>
      </c>
      <c r="G178" s="362" t="s">
        <v>963</v>
      </c>
      <c r="H178" s="362"/>
      <c r="I178" s="362"/>
      <c r="J178" s="362"/>
    </row>
    <row r="179" spans="1:10" x14ac:dyDescent="0.25">
      <c r="A179" s="362" t="s">
        <v>307</v>
      </c>
      <c r="B179" s="362"/>
      <c r="C179" s="362">
        <v>5.1447831139022238E-12</v>
      </c>
      <c r="D179" s="362">
        <v>5.1447831139022238E-12</v>
      </c>
      <c r="E179" s="362"/>
      <c r="F179" s="363">
        <v>0</v>
      </c>
      <c r="G179" s="362" t="s">
        <v>964</v>
      </c>
      <c r="H179" s="362"/>
      <c r="I179" s="362"/>
      <c r="J179" s="362"/>
    </row>
    <row r="180" spans="1:10" x14ac:dyDescent="0.25">
      <c r="A180" s="362" t="s">
        <v>308</v>
      </c>
      <c r="B180" s="362"/>
      <c r="C180" s="362">
        <v>5.1447831139022238E-12</v>
      </c>
      <c r="D180" s="362">
        <v>5.1447831139022238E-12</v>
      </c>
      <c r="E180" s="362"/>
      <c r="F180" s="363">
        <v>0</v>
      </c>
      <c r="G180" s="362" t="s">
        <v>965</v>
      </c>
      <c r="H180" s="362"/>
      <c r="I180" s="362"/>
      <c r="J180" s="362"/>
    </row>
    <row r="181" spans="1:10" x14ac:dyDescent="0.25">
      <c r="A181" s="362" t="s">
        <v>309</v>
      </c>
      <c r="B181" s="362"/>
      <c r="C181" s="362">
        <v>1.7207501826350396E-10</v>
      </c>
      <c r="D181" s="362">
        <v>1.7207501826350396E-10</v>
      </c>
      <c r="E181" s="362"/>
      <c r="F181" s="363">
        <v>0</v>
      </c>
      <c r="G181" s="362" t="s">
        <v>966</v>
      </c>
      <c r="H181" s="362"/>
      <c r="I181" s="362"/>
      <c r="J181" s="362"/>
    </row>
    <row r="182" spans="1:10" x14ac:dyDescent="0.25">
      <c r="A182" s="362" t="s">
        <v>310</v>
      </c>
      <c r="B182" s="362"/>
      <c r="C182" s="362">
        <v>1.8795392519442426E-11</v>
      </c>
      <c r="D182" s="362">
        <v>1.8795392519442426E-11</v>
      </c>
      <c r="E182" s="362"/>
      <c r="F182" s="363">
        <v>0</v>
      </c>
      <c r="G182" s="362" t="s">
        <v>967</v>
      </c>
      <c r="H182" s="362"/>
      <c r="I182" s="362"/>
      <c r="J182" s="362"/>
    </row>
    <row r="183" spans="1:10" x14ac:dyDescent="0.25">
      <c r="A183" s="362" t="s">
        <v>311</v>
      </c>
      <c r="B183" s="362"/>
      <c r="C183" s="362">
        <v>8.5778627582825969E-11</v>
      </c>
      <c r="D183" s="362">
        <v>8.5778627582825969E-11</v>
      </c>
      <c r="E183" s="362"/>
      <c r="F183" s="363">
        <v>0</v>
      </c>
      <c r="G183" s="362" t="s">
        <v>968</v>
      </c>
      <c r="H183" s="362"/>
      <c r="I183" s="362"/>
      <c r="J183" s="362"/>
    </row>
    <row r="184" spans="1:10" x14ac:dyDescent="0.25">
      <c r="A184" s="362" t="s">
        <v>312</v>
      </c>
      <c r="B184" s="362"/>
      <c r="C184" s="362">
        <v>6.2757299502705133E-10</v>
      </c>
      <c r="D184" s="362">
        <v>6.2757299502705133E-10</v>
      </c>
      <c r="E184" s="362"/>
      <c r="F184" s="363">
        <v>0</v>
      </c>
      <c r="G184" s="362" t="s">
        <v>969</v>
      </c>
      <c r="H184" s="362"/>
      <c r="I184" s="362"/>
      <c r="J184" s="362"/>
    </row>
    <row r="185" spans="1:10" x14ac:dyDescent="0.25">
      <c r="A185" s="362" t="s">
        <v>313</v>
      </c>
      <c r="B185" s="362"/>
      <c r="C185" s="362">
        <v>3.2530076560651233E-11</v>
      </c>
      <c r="D185" s="362">
        <v>3.2530076560651233E-11</v>
      </c>
      <c r="E185" s="362"/>
      <c r="F185" s="363">
        <v>0</v>
      </c>
      <c r="G185" s="362" t="s">
        <v>970</v>
      </c>
      <c r="H185" s="362"/>
      <c r="I185" s="362"/>
      <c r="J185" s="362"/>
    </row>
    <row r="186" spans="1:10" x14ac:dyDescent="0.25">
      <c r="A186" s="362" t="s">
        <v>314</v>
      </c>
      <c r="B186" s="362"/>
      <c r="C186" s="362">
        <v>1.0686695278969958E-11</v>
      </c>
      <c r="D186" s="362">
        <v>1.0686695278969958E-11</v>
      </c>
      <c r="E186" s="362"/>
      <c r="F186" s="363">
        <v>0</v>
      </c>
      <c r="G186" s="362" t="s">
        <v>971</v>
      </c>
      <c r="H186" s="362"/>
      <c r="I186" s="362"/>
      <c r="J186" s="362"/>
    </row>
    <row r="187" spans="1:10" x14ac:dyDescent="0.25">
      <c r="A187" s="362" t="s">
        <v>315</v>
      </c>
      <c r="B187" s="362"/>
      <c r="C187" s="362">
        <v>2.4904526072837566E-10</v>
      </c>
      <c r="D187" s="362">
        <v>2.4904526072837566E-10</v>
      </c>
      <c r="E187" s="362"/>
      <c r="F187" s="363">
        <v>0</v>
      </c>
      <c r="G187" s="362" t="s">
        <v>972</v>
      </c>
      <c r="H187" s="362"/>
      <c r="I187" s="362"/>
      <c r="J187" s="362"/>
    </row>
    <row r="188" spans="1:10" x14ac:dyDescent="0.25">
      <c r="A188" s="362" t="s">
        <v>316</v>
      </c>
      <c r="B188" s="362"/>
      <c r="C188" s="362">
        <v>3.8118664871116146E-9</v>
      </c>
      <c r="D188" s="362">
        <v>3.8118664871116146E-9</v>
      </c>
      <c r="E188" s="362"/>
      <c r="F188" s="363">
        <v>0</v>
      </c>
      <c r="G188" s="362" t="s">
        <v>973</v>
      </c>
      <c r="H188" s="362"/>
      <c r="I188" s="362"/>
      <c r="J188" s="362"/>
    </row>
    <row r="189" spans="1:10" x14ac:dyDescent="0.25">
      <c r="A189" s="362" t="s">
        <v>317</v>
      </c>
      <c r="B189" s="362"/>
      <c r="C189" s="362">
        <v>1.1779003610742216E-9</v>
      </c>
      <c r="D189" s="362">
        <v>1.1779003610742216E-9</v>
      </c>
      <c r="E189" s="362"/>
      <c r="F189" s="363">
        <v>0</v>
      </c>
      <c r="G189" s="362" t="s">
        <v>974</v>
      </c>
      <c r="H189" s="362"/>
      <c r="I189" s="362"/>
      <c r="J189" s="362"/>
    </row>
    <row r="190" spans="1:10" x14ac:dyDescent="0.25">
      <c r="A190" s="362" t="s">
        <v>774</v>
      </c>
      <c r="B190" s="362"/>
      <c r="C190" s="362">
        <v>1.2998179086139705E-12</v>
      </c>
      <c r="D190" s="362">
        <v>1.2998179086139705E-12</v>
      </c>
      <c r="E190" s="362"/>
      <c r="F190" s="363">
        <v>0</v>
      </c>
      <c r="G190" s="362" t="s">
        <v>975</v>
      </c>
      <c r="H190" s="362"/>
      <c r="I190" s="362"/>
      <c r="J190" s="362"/>
    </row>
    <row r="191" spans="1:10" x14ac:dyDescent="0.25">
      <c r="A191" s="362" t="s">
        <v>318</v>
      </c>
      <c r="B191" s="362"/>
      <c r="C191" s="362">
        <v>1.8698140200286121E-9</v>
      </c>
      <c r="D191" s="362">
        <v>1.8698140200286121E-9</v>
      </c>
      <c r="E191" s="362"/>
      <c r="F191" s="363">
        <v>0</v>
      </c>
      <c r="G191" s="362" t="s">
        <v>976</v>
      </c>
      <c r="H191" s="362"/>
      <c r="I191" s="362"/>
      <c r="J191" s="362"/>
    </row>
    <row r="192" spans="1:10" x14ac:dyDescent="0.25">
      <c r="A192" s="362" t="s">
        <v>319</v>
      </c>
      <c r="B192" s="362"/>
      <c r="C192" s="362">
        <v>1.3076256696834184E-5</v>
      </c>
      <c r="D192" s="362">
        <v>1.3076256696834184E-5</v>
      </c>
      <c r="E192" s="362"/>
      <c r="F192" s="363">
        <v>0</v>
      </c>
      <c r="G192" s="362" t="s">
        <v>1065</v>
      </c>
      <c r="H192" s="362"/>
      <c r="I192" s="362"/>
      <c r="J192" s="362"/>
    </row>
    <row r="193" spans="1:10" x14ac:dyDescent="0.25">
      <c r="A193" s="362" t="s">
        <v>320</v>
      </c>
      <c r="B193" s="362"/>
      <c r="C193" s="362">
        <v>4.4851897718485398E-11</v>
      </c>
      <c r="D193" s="362">
        <v>4.4851897718485398E-11</v>
      </c>
      <c r="E193" s="362"/>
      <c r="F193" s="363">
        <v>0</v>
      </c>
      <c r="G193" s="362" t="s">
        <v>977</v>
      </c>
      <c r="H193" s="362"/>
      <c r="I193" s="362"/>
      <c r="J193" s="362"/>
    </row>
    <row r="194" spans="1:10" x14ac:dyDescent="0.25">
      <c r="A194" s="362" t="s">
        <v>321</v>
      </c>
      <c r="B194" s="362"/>
      <c r="C194" s="362">
        <v>1.1928978279535172E-6</v>
      </c>
      <c r="D194" s="362">
        <v>1.1928978279535172E-6</v>
      </c>
      <c r="E194" s="362"/>
      <c r="F194" s="363">
        <v>0</v>
      </c>
      <c r="G194" s="362" t="s">
        <v>978</v>
      </c>
      <c r="H194" s="362"/>
      <c r="I194" s="362"/>
      <c r="J194" s="362"/>
    </row>
    <row r="195" spans="1:10" x14ac:dyDescent="0.25">
      <c r="A195" s="362" t="s">
        <v>515</v>
      </c>
      <c r="B195" s="362"/>
      <c r="C195" s="362">
        <v>7.1244635193133047E-12</v>
      </c>
      <c r="D195" s="362">
        <v>7.1244635193133047E-12</v>
      </c>
      <c r="E195" s="362"/>
      <c r="F195" s="363">
        <v>0</v>
      </c>
      <c r="G195" s="362" t="s">
        <v>979</v>
      </c>
      <c r="H195" s="362"/>
      <c r="I195" s="362"/>
      <c r="J195" s="362"/>
    </row>
    <row r="196" spans="1:10" x14ac:dyDescent="0.25">
      <c r="A196" t="s">
        <v>97</v>
      </c>
      <c r="B196" s="362" t="s">
        <v>105</v>
      </c>
    </row>
    <row r="197" spans="1:10" x14ac:dyDescent="0.25">
      <c r="A197" t="s">
        <v>1162</v>
      </c>
    </row>
    <row r="198" spans="1:10" x14ac:dyDescent="0.25">
      <c r="A198" s="358" t="s">
        <v>69</v>
      </c>
      <c r="B198" t="s">
        <v>444</v>
      </c>
      <c r="C198" t="s">
        <v>1163</v>
      </c>
      <c r="D198" t="s">
        <v>77</v>
      </c>
      <c r="E198" t="s">
        <v>76</v>
      </c>
      <c r="F198" t="s">
        <v>62</v>
      </c>
      <c r="G198" t="s">
        <v>1164</v>
      </c>
      <c r="H198" t="s">
        <v>1159</v>
      </c>
      <c r="I198" t="s">
        <v>75</v>
      </c>
      <c r="J198" t="s">
        <v>1165</v>
      </c>
    </row>
    <row r="199" spans="1:10" x14ac:dyDescent="0.25">
      <c r="A199" s="362" t="s">
        <v>753</v>
      </c>
      <c r="B199" s="362" t="s">
        <v>753</v>
      </c>
      <c r="C199" s="362"/>
      <c r="D199" s="362">
        <v>0.29980520433531621</v>
      </c>
      <c r="E199" s="362">
        <v>1</v>
      </c>
      <c r="F199" s="362" t="s">
        <v>41</v>
      </c>
      <c r="G199" s="362"/>
      <c r="H199" s="363">
        <v>0</v>
      </c>
      <c r="I199" s="362" t="s">
        <v>101</v>
      </c>
      <c r="J199" s="362" t="s">
        <v>1211</v>
      </c>
    </row>
    <row r="200" spans="1:10" x14ac:dyDescent="0.25">
      <c r="A200" s="362" t="s">
        <v>754</v>
      </c>
      <c r="B200" s="362" t="s">
        <v>754</v>
      </c>
      <c r="C200" s="362"/>
      <c r="D200" s="362">
        <v>1.105799140960124E-2</v>
      </c>
      <c r="E200" s="362">
        <v>1</v>
      </c>
      <c r="F200" s="362" t="s">
        <v>41</v>
      </c>
      <c r="G200" s="362"/>
      <c r="H200" s="363">
        <v>0</v>
      </c>
      <c r="I200" s="362" t="s">
        <v>101</v>
      </c>
      <c r="J200" s="362" t="s">
        <v>1212</v>
      </c>
    </row>
    <row r="201" spans="1:10" x14ac:dyDescent="0.25">
      <c r="A201" s="362" t="s">
        <v>755</v>
      </c>
      <c r="B201" s="362" t="s">
        <v>755</v>
      </c>
      <c r="C201" s="362"/>
      <c r="D201" s="362">
        <v>1.3507270415111778E-2</v>
      </c>
      <c r="E201" s="362">
        <v>1</v>
      </c>
      <c r="F201" s="362" t="s">
        <v>41</v>
      </c>
      <c r="G201" s="362"/>
      <c r="H201" s="363">
        <v>0</v>
      </c>
      <c r="I201" s="362" t="s">
        <v>101</v>
      </c>
      <c r="J201" s="362" t="s">
        <v>1213</v>
      </c>
    </row>
    <row r="202" spans="1:10" x14ac:dyDescent="0.25">
      <c r="A202" s="362" t="s">
        <v>756</v>
      </c>
      <c r="B202" s="362" t="s">
        <v>788</v>
      </c>
      <c r="C202" s="362"/>
      <c r="D202" s="362">
        <v>8.7549943155385468E-4</v>
      </c>
      <c r="E202" s="362">
        <v>1</v>
      </c>
      <c r="F202" s="362" t="s">
        <v>41</v>
      </c>
      <c r="G202" s="362"/>
      <c r="H202" s="363">
        <v>0</v>
      </c>
      <c r="I202" s="362" t="s">
        <v>101</v>
      </c>
      <c r="J202" s="362" t="s">
        <v>1214</v>
      </c>
    </row>
    <row r="203" spans="1:10" x14ac:dyDescent="0.25">
      <c r="A203" s="362" t="s">
        <v>757</v>
      </c>
      <c r="B203" s="362" t="s">
        <v>757</v>
      </c>
      <c r="C203" s="362"/>
      <c r="D203" s="362">
        <v>8.8226937994057234E-3</v>
      </c>
      <c r="E203" s="362">
        <v>1</v>
      </c>
      <c r="F203" s="362" t="s">
        <v>41</v>
      </c>
      <c r="G203" s="362"/>
      <c r="H203" s="363">
        <v>0</v>
      </c>
      <c r="I203" s="362" t="s">
        <v>101</v>
      </c>
      <c r="J203" s="362" t="s">
        <v>1215</v>
      </c>
    </row>
    <row r="204" spans="1:10" x14ac:dyDescent="0.25">
      <c r="A204" s="362" t="s">
        <v>758</v>
      </c>
      <c r="B204" s="362" t="s">
        <v>789</v>
      </c>
      <c r="C204" s="362"/>
      <c r="D204" s="362">
        <v>3.0144836628131656E-3</v>
      </c>
      <c r="E204" s="362">
        <v>1</v>
      </c>
      <c r="F204" s="362" t="s">
        <v>41</v>
      </c>
      <c r="G204" s="362"/>
      <c r="H204" s="363">
        <v>0</v>
      </c>
      <c r="I204" s="362" t="s">
        <v>101</v>
      </c>
      <c r="J204" s="362" t="s">
        <v>1216</v>
      </c>
    </row>
    <row r="205" spans="1:10" x14ac:dyDescent="0.25">
      <c r="A205" s="362" t="s">
        <v>452</v>
      </c>
      <c r="B205" s="362" t="s">
        <v>786</v>
      </c>
      <c r="C205" s="362"/>
      <c r="D205" s="362">
        <v>5.0894646903060668E-3</v>
      </c>
      <c r="E205" s="362">
        <v>1</v>
      </c>
      <c r="F205" s="362" t="s">
        <v>41</v>
      </c>
      <c r="G205" s="362"/>
      <c r="H205" s="363">
        <v>0</v>
      </c>
      <c r="I205" s="362" t="s">
        <v>101</v>
      </c>
      <c r="J205" s="362" t="s">
        <v>1217</v>
      </c>
    </row>
    <row r="206" spans="1:10" x14ac:dyDescent="0.25">
      <c r="A206" s="362" t="s">
        <v>453</v>
      </c>
      <c r="B206" s="362" t="s">
        <v>453</v>
      </c>
      <c r="C206" s="362"/>
      <c r="D206" s="362">
        <v>4.5326481049770889E-3</v>
      </c>
      <c r="E206" s="362">
        <v>1</v>
      </c>
      <c r="F206" s="362" t="s">
        <v>41</v>
      </c>
      <c r="G206" s="362"/>
      <c r="H206" s="363">
        <v>0</v>
      </c>
      <c r="I206" s="362" t="s">
        <v>101</v>
      </c>
      <c r="J206" s="362" t="s">
        <v>1218</v>
      </c>
    </row>
    <row r="207" spans="1:10" x14ac:dyDescent="0.25">
      <c r="A207" s="362" t="s">
        <v>759</v>
      </c>
      <c r="B207" s="362" t="s">
        <v>759</v>
      </c>
      <c r="C207" s="362"/>
      <c r="D207" s="362">
        <v>2.2480005503104544E-4</v>
      </c>
      <c r="E207" s="362">
        <v>1</v>
      </c>
      <c r="F207" s="362" t="s">
        <v>41</v>
      </c>
      <c r="G207" s="362"/>
      <c r="H207" s="363">
        <v>0</v>
      </c>
      <c r="I207" s="362" t="s">
        <v>101</v>
      </c>
      <c r="J207" s="362" t="s">
        <v>1219</v>
      </c>
    </row>
    <row r="208" spans="1:10" x14ac:dyDescent="0.25">
      <c r="A208" s="362" t="s">
        <v>760</v>
      </c>
      <c r="B208" s="362" t="s">
        <v>760</v>
      </c>
      <c r="C208" s="362"/>
      <c r="D208" s="362">
        <v>1.066511906006096E-2</v>
      </c>
      <c r="E208" s="362">
        <v>1</v>
      </c>
      <c r="F208" s="362" t="s">
        <v>41</v>
      </c>
      <c r="G208" s="362"/>
      <c r="H208" s="363">
        <v>0</v>
      </c>
      <c r="I208" s="362" t="s">
        <v>101</v>
      </c>
      <c r="J208" s="362" t="s">
        <v>1220</v>
      </c>
    </row>
    <row r="209" spans="1:10" x14ac:dyDescent="0.25">
      <c r="A209" s="362" t="s">
        <v>231</v>
      </c>
      <c r="B209" s="362" t="s">
        <v>799</v>
      </c>
      <c r="C209" s="362"/>
      <c r="D209" s="362">
        <v>0.30931648670294853</v>
      </c>
      <c r="E209" s="362">
        <v>1</v>
      </c>
      <c r="F209" s="362" t="s">
        <v>41</v>
      </c>
      <c r="G209" s="362"/>
      <c r="H209" s="363">
        <v>0</v>
      </c>
      <c r="I209" s="362" t="s">
        <v>101</v>
      </c>
      <c r="J209" s="362" t="s">
        <v>1221</v>
      </c>
    </row>
    <row r="210" spans="1:10" x14ac:dyDescent="0.25">
      <c r="A210" s="362" t="s">
        <v>761</v>
      </c>
      <c r="B210" s="362" t="s">
        <v>761</v>
      </c>
      <c r="C210" s="362"/>
      <c r="D210" s="362">
        <v>2.2167871049375412E-2</v>
      </c>
      <c r="E210" s="362">
        <v>1</v>
      </c>
      <c r="F210" s="362" t="s">
        <v>41</v>
      </c>
      <c r="G210" s="362" t="s">
        <v>102</v>
      </c>
      <c r="H210" s="363">
        <v>0</v>
      </c>
      <c r="I210" s="362" t="s">
        <v>101</v>
      </c>
      <c r="J210" s="362" t="s">
        <v>1222</v>
      </c>
    </row>
    <row r="211" spans="1:10" x14ac:dyDescent="0.25">
      <c r="A211" s="362" t="s">
        <v>232</v>
      </c>
      <c r="B211" s="362" t="s">
        <v>232</v>
      </c>
      <c r="C211" s="362"/>
      <c r="D211" s="362">
        <v>4.3907549921337575E-4</v>
      </c>
      <c r="E211" s="362">
        <v>1</v>
      </c>
      <c r="F211" s="362" t="s">
        <v>41</v>
      </c>
      <c r="G211" s="362" t="s">
        <v>102</v>
      </c>
      <c r="H211" s="363">
        <v>0</v>
      </c>
      <c r="I211" s="362" t="s">
        <v>101</v>
      </c>
      <c r="J211" s="362" t="s">
        <v>1223</v>
      </c>
    </row>
    <row r="212" spans="1:10" x14ac:dyDescent="0.25">
      <c r="A212" s="362" t="s">
        <v>233</v>
      </c>
      <c r="B212" s="362" t="s">
        <v>1066</v>
      </c>
      <c r="C212" s="362"/>
      <c r="D212" s="362">
        <v>1.6813167332400596E-6</v>
      </c>
      <c r="E212" s="362">
        <v>1</v>
      </c>
      <c r="F212" s="362" t="s">
        <v>41</v>
      </c>
      <c r="G212" s="362" t="s">
        <v>102</v>
      </c>
      <c r="H212" s="363">
        <v>0</v>
      </c>
      <c r="I212" s="362" t="s">
        <v>101</v>
      </c>
      <c r="J212" s="362" t="s">
        <v>1224</v>
      </c>
    </row>
    <row r="213" spans="1:10" x14ac:dyDescent="0.25">
      <c r="A213" s="362" t="s">
        <v>327</v>
      </c>
      <c r="B213" s="362" t="s">
        <v>340</v>
      </c>
      <c r="C213" s="362"/>
      <c r="D213" s="362">
        <v>3.2911754527926436E-3</v>
      </c>
      <c r="E213" s="362">
        <v>1</v>
      </c>
      <c r="F213" s="362" t="s">
        <v>41</v>
      </c>
      <c r="G213" s="362" t="s">
        <v>102</v>
      </c>
      <c r="H213" s="363">
        <v>0</v>
      </c>
      <c r="I213" s="362" t="s">
        <v>101</v>
      </c>
      <c r="J213" s="362" t="s">
        <v>1225</v>
      </c>
    </row>
    <row r="214" spans="1:10" x14ac:dyDescent="0.25">
      <c r="A214" s="362" t="s">
        <v>234</v>
      </c>
      <c r="B214" s="362" t="s">
        <v>341</v>
      </c>
      <c r="C214" s="362"/>
      <c r="D214" s="362">
        <v>3.855495876605314E-3</v>
      </c>
      <c r="E214" s="362">
        <v>1</v>
      </c>
      <c r="F214" s="362" t="s">
        <v>41</v>
      </c>
      <c r="G214" s="362" t="s">
        <v>102</v>
      </c>
      <c r="H214" s="363">
        <v>0</v>
      </c>
      <c r="I214" s="362" t="s">
        <v>101</v>
      </c>
      <c r="J214" s="362" t="s">
        <v>1226</v>
      </c>
    </row>
    <row r="215" spans="1:10" x14ac:dyDescent="0.25">
      <c r="A215" s="362" t="s">
        <v>762</v>
      </c>
      <c r="B215" s="362" t="s">
        <v>800</v>
      </c>
      <c r="C215" s="362"/>
      <c r="D215" s="362">
        <v>4.940670071172883E-3</v>
      </c>
      <c r="E215" s="362">
        <v>1</v>
      </c>
      <c r="F215" s="362" t="s">
        <v>41</v>
      </c>
      <c r="G215" s="362" t="s">
        <v>102</v>
      </c>
      <c r="H215" s="363">
        <v>0</v>
      </c>
      <c r="I215" s="362" t="s">
        <v>101</v>
      </c>
      <c r="J215" s="362" t="s">
        <v>1227</v>
      </c>
    </row>
    <row r="216" spans="1:10" x14ac:dyDescent="0.25">
      <c r="A216" s="362" t="s">
        <v>775</v>
      </c>
      <c r="B216" s="362" t="s">
        <v>801</v>
      </c>
      <c r="C216" s="362"/>
      <c r="D216" s="362">
        <v>8.0465275811290009E-5</v>
      </c>
      <c r="E216" s="362">
        <v>1</v>
      </c>
      <c r="F216" s="362" t="s">
        <v>41</v>
      </c>
      <c r="G216" s="362" t="s">
        <v>102</v>
      </c>
      <c r="H216" s="363">
        <v>0</v>
      </c>
      <c r="I216" s="362" t="s">
        <v>101</v>
      </c>
      <c r="J216" s="362" t="s">
        <v>1228</v>
      </c>
    </row>
    <row r="217" spans="1:10" x14ac:dyDescent="0.25">
      <c r="A217" s="362" t="s">
        <v>763</v>
      </c>
      <c r="B217" s="362" t="s">
        <v>802</v>
      </c>
      <c r="C217" s="362"/>
      <c r="D217" s="362">
        <v>8.8913912736232414E-5</v>
      </c>
      <c r="E217" s="362">
        <v>1</v>
      </c>
      <c r="F217" s="362" t="s">
        <v>1229</v>
      </c>
      <c r="G217" s="362"/>
      <c r="H217" s="363">
        <v>0</v>
      </c>
      <c r="I217" s="362" t="s">
        <v>101</v>
      </c>
      <c r="J217" s="362" t="s">
        <v>1230</v>
      </c>
    </row>
    <row r="218" spans="1:10" x14ac:dyDescent="0.25">
      <c r="A218" s="362" t="s">
        <v>512</v>
      </c>
      <c r="B218" s="362" t="s">
        <v>235</v>
      </c>
      <c r="C218" s="362"/>
      <c r="D218" s="362">
        <v>4.9205648973279906E-2</v>
      </c>
      <c r="E218" s="362">
        <v>1</v>
      </c>
      <c r="F218" s="362" t="s">
        <v>1231</v>
      </c>
      <c r="G218" s="362" t="s">
        <v>102</v>
      </c>
      <c r="H218" s="363">
        <v>0</v>
      </c>
      <c r="I218" s="362" t="s">
        <v>101</v>
      </c>
      <c r="J218" s="362" t="s">
        <v>1232</v>
      </c>
    </row>
    <row r="219" spans="1:10" x14ac:dyDescent="0.25">
      <c r="A219" t="s">
        <v>1166</v>
      </c>
    </row>
    <row r="220" spans="1:10" x14ac:dyDescent="0.25">
      <c r="A220" s="358" t="s">
        <v>69</v>
      </c>
      <c r="B220" t="s">
        <v>444</v>
      </c>
      <c r="C220" t="s">
        <v>1163</v>
      </c>
      <c r="D220" t="s">
        <v>77</v>
      </c>
      <c r="E220" t="s">
        <v>76</v>
      </c>
      <c r="F220" t="s">
        <v>62</v>
      </c>
      <c r="G220" t="s">
        <v>1164</v>
      </c>
      <c r="H220" t="s">
        <v>1159</v>
      </c>
      <c r="I220" t="s">
        <v>75</v>
      </c>
      <c r="J220" t="s">
        <v>1165</v>
      </c>
    </row>
    <row r="221" spans="1:10" x14ac:dyDescent="0.25">
      <c r="A221" s="362"/>
      <c r="B221" s="362" t="s">
        <v>980</v>
      </c>
      <c r="C221" s="362"/>
      <c r="D221" s="362">
        <v>1</v>
      </c>
      <c r="E221" s="362">
        <v>1</v>
      </c>
      <c r="F221" s="362"/>
      <c r="G221" s="362" t="s">
        <v>102</v>
      </c>
      <c r="H221" s="363">
        <v>0</v>
      </c>
      <c r="I221" s="362"/>
      <c r="J221" s="362" t="s">
        <v>81</v>
      </c>
    </row>
    <row r="222" spans="1:10" x14ac:dyDescent="0.25">
      <c r="A222" s="362" t="s">
        <v>240</v>
      </c>
      <c r="B222" s="362" t="s">
        <v>447</v>
      </c>
      <c r="C222" s="362"/>
      <c r="D222" s="362">
        <v>0.21263726320610571</v>
      </c>
      <c r="E222" s="362">
        <v>1</v>
      </c>
      <c r="F222" s="362" t="s">
        <v>41</v>
      </c>
      <c r="G222" s="362"/>
      <c r="H222" s="363">
        <v>0</v>
      </c>
      <c r="I222" s="362" t="s">
        <v>101</v>
      </c>
      <c r="J222" s="362" t="s">
        <v>1208</v>
      </c>
    </row>
    <row r="223" spans="1:10" x14ac:dyDescent="0.25">
      <c r="A223" s="362" t="s">
        <v>748</v>
      </c>
      <c r="B223" s="362" t="s">
        <v>836</v>
      </c>
      <c r="C223" s="362"/>
      <c r="D223" s="362">
        <v>0</v>
      </c>
      <c r="E223" s="362">
        <v>1</v>
      </c>
      <c r="F223" s="362" t="s">
        <v>41</v>
      </c>
      <c r="G223" s="362"/>
      <c r="H223" s="363">
        <v>0</v>
      </c>
      <c r="I223" s="362" t="s">
        <v>106</v>
      </c>
      <c r="J223" s="362" t="s">
        <v>1208</v>
      </c>
    </row>
    <row r="224" spans="1:10" x14ac:dyDescent="0.25">
      <c r="A224" s="362" t="s">
        <v>749</v>
      </c>
      <c r="B224" s="362" t="s">
        <v>448</v>
      </c>
      <c r="C224" s="362"/>
      <c r="D224" s="362">
        <v>0</v>
      </c>
      <c r="E224" s="362">
        <v>1</v>
      </c>
      <c r="F224" s="362" t="s">
        <v>41</v>
      </c>
      <c r="G224" s="362"/>
      <c r="H224" s="363">
        <v>0</v>
      </c>
      <c r="I224" s="362" t="s">
        <v>106</v>
      </c>
      <c r="J224" s="362" t="s">
        <v>835</v>
      </c>
    </row>
    <row r="225" spans="1:10" x14ac:dyDescent="0.25">
      <c r="A225" s="362" t="s">
        <v>750</v>
      </c>
      <c r="B225" s="362" t="s">
        <v>449</v>
      </c>
      <c r="C225" s="362"/>
      <c r="D225" s="362">
        <v>0</v>
      </c>
      <c r="E225" s="362">
        <v>1</v>
      </c>
      <c r="F225" s="362" t="s">
        <v>41</v>
      </c>
      <c r="G225" s="362"/>
      <c r="H225" s="363">
        <v>0</v>
      </c>
      <c r="I225" s="362" t="s">
        <v>106</v>
      </c>
      <c r="J225" s="362" t="s">
        <v>1208</v>
      </c>
    </row>
    <row r="226" spans="1:10" x14ac:dyDescent="0.25">
      <c r="A226" s="362" t="s">
        <v>751</v>
      </c>
      <c r="B226" s="362" t="s">
        <v>450</v>
      </c>
      <c r="C226" s="362"/>
      <c r="D226" s="362">
        <v>0</v>
      </c>
      <c r="E226" s="362">
        <v>1</v>
      </c>
      <c r="F226" s="362" t="s">
        <v>41</v>
      </c>
      <c r="G226" s="362"/>
      <c r="H226" s="363">
        <v>0</v>
      </c>
      <c r="I226" s="362" t="s">
        <v>106</v>
      </c>
      <c r="J226" s="362" t="s">
        <v>835</v>
      </c>
    </row>
    <row r="227" spans="1:10" x14ac:dyDescent="0.25">
      <c r="A227" s="362" t="s">
        <v>752</v>
      </c>
      <c r="B227" s="362" t="s">
        <v>451</v>
      </c>
      <c r="C227" s="362"/>
      <c r="D227" s="362">
        <v>0</v>
      </c>
      <c r="E227" s="362">
        <v>1</v>
      </c>
      <c r="F227" s="362" t="s">
        <v>41</v>
      </c>
      <c r="G227" s="362"/>
      <c r="H227" s="363">
        <v>0</v>
      </c>
      <c r="I227" s="362" t="s">
        <v>106</v>
      </c>
      <c r="J227" s="362" t="s">
        <v>835</v>
      </c>
    </row>
    <row r="228" spans="1:10" x14ac:dyDescent="0.25">
      <c r="A228" s="362" t="s">
        <v>764</v>
      </c>
      <c r="B228" s="362" t="s">
        <v>90</v>
      </c>
      <c r="C228" s="362"/>
      <c r="D228" s="362">
        <v>1.8924430229125078E-7</v>
      </c>
      <c r="E228" s="362">
        <v>1</v>
      </c>
      <c r="F228" s="362" t="s">
        <v>41</v>
      </c>
      <c r="G228" s="362"/>
      <c r="H228" s="363">
        <v>0</v>
      </c>
      <c r="I228" s="362" t="s">
        <v>101</v>
      </c>
      <c r="J228" s="362" t="s">
        <v>835</v>
      </c>
    </row>
    <row r="229" spans="1:10" x14ac:dyDescent="0.25">
      <c r="A229" s="362" t="s">
        <v>765</v>
      </c>
      <c r="B229" s="362" t="s">
        <v>807</v>
      </c>
      <c r="C229" s="362"/>
      <c r="D229" s="362">
        <v>2.0849831681005046E-7</v>
      </c>
      <c r="E229" s="362">
        <v>1</v>
      </c>
      <c r="F229" s="362" t="s">
        <v>41</v>
      </c>
      <c r="G229" s="362"/>
      <c r="H229" s="363">
        <v>0</v>
      </c>
      <c r="I229" s="362" t="s">
        <v>101</v>
      </c>
      <c r="J229" s="362" t="s">
        <v>835</v>
      </c>
    </row>
    <row r="230" spans="1:10" x14ac:dyDescent="0.25">
      <c r="A230" s="362" t="s">
        <v>513</v>
      </c>
      <c r="B230" s="362" t="s">
        <v>247</v>
      </c>
      <c r="C230" s="362"/>
      <c r="D230" s="362">
        <v>1.5990314034892649E-4</v>
      </c>
      <c r="E230" s="362">
        <v>1</v>
      </c>
      <c r="F230" s="362" t="s">
        <v>41</v>
      </c>
      <c r="G230" s="362"/>
      <c r="H230" s="363">
        <v>0</v>
      </c>
      <c r="I230" s="362" t="s">
        <v>101</v>
      </c>
      <c r="J230" s="362" t="s">
        <v>835</v>
      </c>
    </row>
    <row r="231" spans="1:10" x14ac:dyDescent="0.25">
      <c r="A231" s="362" t="s">
        <v>766</v>
      </c>
      <c r="B231" s="362" t="s">
        <v>248</v>
      </c>
      <c r="C231" s="362"/>
      <c r="D231" s="362">
        <v>3.0299216715071059E-6</v>
      </c>
      <c r="E231" s="362">
        <v>1</v>
      </c>
      <c r="F231" s="362" t="s">
        <v>41</v>
      </c>
      <c r="G231" s="362"/>
      <c r="H231" s="363">
        <v>0</v>
      </c>
      <c r="I231" s="362" t="s">
        <v>101</v>
      </c>
      <c r="J231" s="362" t="s">
        <v>835</v>
      </c>
    </row>
    <row r="232" spans="1:10" x14ac:dyDescent="0.25">
      <c r="A232" s="362" t="s">
        <v>767</v>
      </c>
      <c r="B232" s="362" t="s">
        <v>809</v>
      </c>
      <c r="C232" s="362"/>
      <c r="D232" s="362">
        <v>1.2958520547731506E-6</v>
      </c>
      <c r="E232" s="362">
        <v>1</v>
      </c>
      <c r="F232" s="362" t="s">
        <v>41</v>
      </c>
      <c r="G232" s="362"/>
      <c r="H232" s="363">
        <v>0</v>
      </c>
      <c r="I232" s="362" t="s">
        <v>101</v>
      </c>
      <c r="J232" s="362" t="s">
        <v>835</v>
      </c>
    </row>
    <row r="233" spans="1:10" x14ac:dyDescent="0.25">
      <c r="A233" s="362" t="s">
        <v>236</v>
      </c>
      <c r="B233" s="362" t="s">
        <v>249</v>
      </c>
      <c r="C233" s="362"/>
      <c r="D233" s="362">
        <v>1.6540798526717015E-6</v>
      </c>
      <c r="E233" s="362">
        <v>1</v>
      </c>
      <c r="F233" s="362" t="s">
        <v>41</v>
      </c>
      <c r="G233" s="362"/>
      <c r="H233" s="363">
        <v>0</v>
      </c>
      <c r="I233" s="362" t="s">
        <v>101</v>
      </c>
      <c r="J233" s="362" t="s">
        <v>835</v>
      </c>
    </row>
    <row r="234" spans="1:10" x14ac:dyDescent="0.25">
      <c r="A234" s="362" t="s">
        <v>768</v>
      </c>
      <c r="B234" s="362" t="s">
        <v>812</v>
      </c>
      <c r="C234" s="362"/>
      <c r="D234" s="362">
        <v>4.8481031784452238E-9</v>
      </c>
      <c r="E234" s="362">
        <v>1</v>
      </c>
      <c r="F234" s="362" t="s">
        <v>41</v>
      </c>
      <c r="G234" s="362"/>
      <c r="H234" s="363">
        <v>0</v>
      </c>
      <c r="I234" s="362" t="s">
        <v>101</v>
      </c>
      <c r="J234" s="362" t="s">
        <v>835</v>
      </c>
    </row>
    <row r="235" spans="1:10" x14ac:dyDescent="0.25">
      <c r="A235" s="362" t="s">
        <v>769</v>
      </c>
      <c r="B235" s="362" t="s">
        <v>808</v>
      </c>
      <c r="C235" s="362"/>
      <c r="D235" s="362">
        <v>1.2121490214572046E-9</v>
      </c>
      <c r="E235" s="362">
        <v>1</v>
      </c>
      <c r="F235" s="362" t="s">
        <v>41</v>
      </c>
      <c r="G235" s="362"/>
      <c r="H235" s="363">
        <v>0</v>
      </c>
      <c r="I235" s="362" t="s">
        <v>101</v>
      </c>
      <c r="J235" s="362" t="s">
        <v>835</v>
      </c>
    </row>
    <row r="236" spans="1:10" x14ac:dyDescent="0.25">
      <c r="A236" s="362" t="s">
        <v>770</v>
      </c>
      <c r="B236" s="362" t="s">
        <v>810</v>
      </c>
      <c r="C236" s="362"/>
      <c r="D236" s="362">
        <v>1.3533759689317616E-4</v>
      </c>
      <c r="E236" s="362">
        <v>1</v>
      </c>
      <c r="F236" s="362" t="s">
        <v>41</v>
      </c>
      <c r="G236" s="362"/>
      <c r="H236" s="363">
        <v>0</v>
      </c>
      <c r="I236" s="362" t="s">
        <v>101</v>
      </c>
      <c r="J236" s="362" t="s">
        <v>835</v>
      </c>
    </row>
    <row r="237" spans="1:10" x14ac:dyDescent="0.25">
      <c r="A237" s="362" t="s">
        <v>771</v>
      </c>
      <c r="B237" s="362" t="s">
        <v>811</v>
      </c>
      <c r="C237" s="362"/>
      <c r="D237" s="362">
        <v>1.4545903439552623E-8</v>
      </c>
      <c r="E237" s="362">
        <v>1</v>
      </c>
      <c r="F237" s="362" t="s">
        <v>41</v>
      </c>
      <c r="G237" s="362"/>
      <c r="H237" s="363">
        <v>0</v>
      </c>
      <c r="I237" s="362" t="s">
        <v>101</v>
      </c>
      <c r="J237" s="362" t="s">
        <v>835</v>
      </c>
    </row>
    <row r="238" spans="1:10" x14ac:dyDescent="0.25">
      <c r="A238" s="362" t="s">
        <v>237</v>
      </c>
      <c r="B238" s="362" t="s">
        <v>250</v>
      </c>
      <c r="C238" s="362"/>
      <c r="D238" s="362">
        <v>5.150540789435069E-5</v>
      </c>
      <c r="E238" s="362">
        <v>1</v>
      </c>
      <c r="F238" s="362" t="s">
        <v>41</v>
      </c>
      <c r="G238" s="362"/>
      <c r="H238" s="363">
        <v>0</v>
      </c>
      <c r="I238" s="362" t="s">
        <v>101</v>
      </c>
      <c r="J238" s="362" t="s">
        <v>835</v>
      </c>
    </row>
    <row r="239" spans="1:10" x14ac:dyDescent="0.25">
      <c r="A239" s="362" t="s">
        <v>238</v>
      </c>
      <c r="B239" s="362" t="s">
        <v>92</v>
      </c>
      <c r="C239" s="362"/>
      <c r="D239" s="362">
        <v>1.0203273933257675</v>
      </c>
      <c r="E239" s="362">
        <v>1</v>
      </c>
      <c r="F239" s="362" t="s">
        <v>41</v>
      </c>
      <c r="G239" s="362"/>
      <c r="H239" s="363">
        <v>0</v>
      </c>
      <c r="I239" s="362" t="s">
        <v>101</v>
      </c>
      <c r="J239" s="362" t="s">
        <v>803</v>
      </c>
    </row>
    <row r="240" spans="1:10" x14ac:dyDescent="0.25">
      <c r="A240" s="362" t="s">
        <v>772</v>
      </c>
      <c r="B240" s="362" t="s">
        <v>813</v>
      </c>
      <c r="C240" s="362"/>
      <c r="D240" s="362">
        <v>7.2775810388201812E-9</v>
      </c>
      <c r="E240" s="362">
        <v>1</v>
      </c>
      <c r="F240" s="362" t="s">
        <v>41</v>
      </c>
      <c r="G240" s="362"/>
      <c r="H240" s="363">
        <v>0</v>
      </c>
      <c r="I240" s="362" t="s">
        <v>101</v>
      </c>
      <c r="J240" s="362" t="s">
        <v>835</v>
      </c>
    </row>
    <row r="241" spans="1:10" x14ac:dyDescent="0.25">
      <c r="A241" s="362" t="s">
        <v>239</v>
      </c>
      <c r="B241" s="362" t="s">
        <v>88</v>
      </c>
      <c r="C241" s="362"/>
      <c r="D241" s="362">
        <v>1.1951388616587626E-6</v>
      </c>
      <c r="E241" s="362">
        <v>1</v>
      </c>
      <c r="F241" s="362" t="s">
        <v>41</v>
      </c>
      <c r="G241" s="362"/>
      <c r="H241" s="363">
        <v>0</v>
      </c>
      <c r="I241" s="362" t="s">
        <v>101</v>
      </c>
      <c r="J241" s="362" t="s">
        <v>1208</v>
      </c>
    </row>
    <row r="242" spans="1:10" x14ac:dyDescent="0.25">
      <c r="A242" s="362" t="s">
        <v>241</v>
      </c>
      <c r="B242" s="362" t="s">
        <v>84</v>
      </c>
      <c r="C242" s="362"/>
      <c r="D242" s="362">
        <v>2.8440245956187147E-4</v>
      </c>
      <c r="E242" s="362">
        <v>1</v>
      </c>
      <c r="F242" s="362" t="s">
        <v>41</v>
      </c>
      <c r="G242" s="362"/>
      <c r="H242" s="363">
        <v>0</v>
      </c>
      <c r="I242" s="362" t="s">
        <v>101</v>
      </c>
      <c r="J242" s="362" t="s">
        <v>1208</v>
      </c>
    </row>
    <row r="243" spans="1:10" x14ac:dyDescent="0.25">
      <c r="A243" s="362" t="s">
        <v>242</v>
      </c>
      <c r="B243" s="362" t="s">
        <v>89</v>
      </c>
      <c r="C243" s="362"/>
      <c r="D243" s="362">
        <v>1.6099187235994913E-5</v>
      </c>
      <c r="E243" s="362">
        <v>1</v>
      </c>
      <c r="F243" s="362" t="s">
        <v>41</v>
      </c>
      <c r="G243" s="362"/>
      <c r="H243" s="363">
        <v>0</v>
      </c>
      <c r="I243" s="362" t="s">
        <v>101</v>
      </c>
      <c r="J243" s="362" t="s">
        <v>1208</v>
      </c>
    </row>
    <row r="244" spans="1:10" x14ac:dyDescent="0.25">
      <c r="A244" s="362" t="s">
        <v>243</v>
      </c>
      <c r="B244" s="362" t="s">
        <v>87</v>
      </c>
      <c r="C244" s="362"/>
      <c r="D244" s="362">
        <v>1.3419830637071923E-8</v>
      </c>
      <c r="E244" s="362">
        <v>1</v>
      </c>
      <c r="F244" s="362" t="s">
        <v>41</v>
      </c>
      <c r="G244" s="362"/>
      <c r="H244" s="363">
        <v>0</v>
      </c>
      <c r="I244" s="362" t="s">
        <v>101</v>
      </c>
      <c r="J244" s="362" t="s">
        <v>1208</v>
      </c>
    </row>
    <row r="245" spans="1:10" x14ac:dyDescent="0.25">
      <c r="A245" s="362" t="s">
        <v>244</v>
      </c>
      <c r="B245" s="362" t="s">
        <v>83</v>
      </c>
      <c r="C245" s="362"/>
      <c r="D245" s="362">
        <v>8.5677994402339378E-6</v>
      </c>
      <c r="E245" s="362">
        <v>1</v>
      </c>
      <c r="F245" s="362" t="s">
        <v>41</v>
      </c>
      <c r="G245" s="362"/>
      <c r="H245" s="363">
        <v>0</v>
      </c>
      <c r="I245" s="362" t="s">
        <v>101</v>
      </c>
      <c r="J245" s="362" t="s">
        <v>1208</v>
      </c>
    </row>
    <row r="246" spans="1:10" x14ac:dyDescent="0.25">
      <c r="A246" s="362" t="s">
        <v>245</v>
      </c>
      <c r="B246" s="362" t="s">
        <v>805</v>
      </c>
      <c r="C246" s="362"/>
      <c r="D246" s="362">
        <v>5.2834826698880443E-4</v>
      </c>
      <c r="E246" s="362">
        <v>1</v>
      </c>
      <c r="F246" s="362" t="s">
        <v>41</v>
      </c>
      <c r="G246" s="362"/>
      <c r="H246" s="363">
        <v>0</v>
      </c>
      <c r="I246" s="362" t="s">
        <v>101</v>
      </c>
      <c r="J246" s="362" t="s">
        <v>1208</v>
      </c>
    </row>
    <row r="247" spans="1:10" x14ac:dyDescent="0.25">
      <c r="A247" s="362" t="s">
        <v>246</v>
      </c>
      <c r="B247" s="362" t="s">
        <v>86</v>
      </c>
      <c r="C247" s="362"/>
      <c r="D247" s="362">
        <v>7.049540137179848E-4</v>
      </c>
      <c r="E247" s="362">
        <v>1</v>
      </c>
      <c r="F247" s="362" t="s">
        <v>41</v>
      </c>
      <c r="G247" s="362"/>
      <c r="H247" s="363">
        <v>0</v>
      </c>
      <c r="I247" s="362" t="s">
        <v>101</v>
      </c>
      <c r="J247" s="362" t="s">
        <v>1208</v>
      </c>
    </row>
    <row r="248" spans="1:10" x14ac:dyDescent="0.25">
      <c r="A248" s="362" t="s">
        <v>773</v>
      </c>
      <c r="B248" s="362" t="s">
        <v>806</v>
      </c>
      <c r="C248" s="362"/>
      <c r="D248" s="362">
        <v>2.8403049665019173E-4</v>
      </c>
      <c r="E248" s="362">
        <v>1</v>
      </c>
      <c r="F248" s="362" t="s">
        <v>41</v>
      </c>
      <c r="G248" s="362"/>
      <c r="H248" s="363">
        <v>0</v>
      </c>
      <c r="I248" s="362" t="s">
        <v>101</v>
      </c>
      <c r="J248" s="362" t="s">
        <v>1208</v>
      </c>
    </row>
    <row r="249" spans="1:10" x14ac:dyDescent="0.25">
      <c r="A249" s="362" t="s">
        <v>514</v>
      </c>
      <c r="B249" s="362" t="s">
        <v>85</v>
      </c>
      <c r="C249" s="362"/>
      <c r="D249" s="362">
        <v>6.6638318284737662E-6</v>
      </c>
      <c r="E249" s="362">
        <v>1</v>
      </c>
      <c r="F249" s="362" t="s">
        <v>41</v>
      </c>
      <c r="G249" s="362"/>
      <c r="H249" s="363">
        <v>0</v>
      </c>
      <c r="I249" s="362" t="s">
        <v>101</v>
      </c>
      <c r="J249" s="362" t="s">
        <v>1208</v>
      </c>
    </row>
    <row r="250" spans="1:10" x14ac:dyDescent="0.25">
      <c r="A250" s="362" t="s">
        <v>516</v>
      </c>
      <c r="B250" s="362" t="s">
        <v>93</v>
      </c>
      <c r="C250" s="362"/>
      <c r="D250" s="362">
        <v>4.1133556469074829E-2</v>
      </c>
      <c r="E250" s="362">
        <v>1</v>
      </c>
      <c r="F250" s="362" t="s">
        <v>41</v>
      </c>
      <c r="G250" s="362" t="s">
        <v>107</v>
      </c>
      <c r="H250" s="363">
        <v>0</v>
      </c>
      <c r="I250" s="362" t="s">
        <v>101</v>
      </c>
      <c r="J250" s="362" t="s">
        <v>804</v>
      </c>
    </row>
    <row r="251" spans="1:10" x14ac:dyDescent="0.25">
      <c r="A251" s="362" t="s">
        <v>307</v>
      </c>
      <c r="B251" s="362" t="s">
        <v>344</v>
      </c>
      <c r="C251" s="362"/>
      <c r="D251" s="362">
        <v>5.1447831139022238E-12</v>
      </c>
      <c r="E251" s="362">
        <v>1</v>
      </c>
      <c r="F251" s="362" t="s">
        <v>41</v>
      </c>
      <c r="G251" s="362"/>
      <c r="H251" s="363">
        <v>0</v>
      </c>
      <c r="I251" s="362" t="s">
        <v>101</v>
      </c>
      <c r="J251" s="362" t="s">
        <v>835</v>
      </c>
    </row>
    <row r="252" spans="1:10" x14ac:dyDescent="0.25">
      <c r="A252" s="362" t="s">
        <v>308</v>
      </c>
      <c r="B252" s="362" t="s">
        <v>357</v>
      </c>
      <c r="C252" s="362"/>
      <c r="D252" s="362">
        <v>5.1447831139022238E-12</v>
      </c>
      <c r="E252" s="362">
        <v>1</v>
      </c>
      <c r="F252" s="362" t="s">
        <v>41</v>
      </c>
      <c r="G252" s="362"/>
      <c r="H252" s="363">
        <v>0</v>
      </c>
      <c r="I252" s="362" t="s">
        <v>101</v>
      </c>
      <c r="J252" s="362" t="s">
        <v>835</v>
      </c>
    </row>
    <row r="253" spans="1:10" x14ac:dyDescent="0.25">
      <c r="A253" s="362" t="s">
        <v>309</v>
      </c>
      <c r="B253" s="362" t="s">
        <v>356</v>
      </c>
      <c r="C253" s="362"/>
      <c r="D253" s="362">
        <v>1.7207501826350396E-10</v>
      </c>
      <c r="E253" s="362">
        <v>1</v>
      </c>
      <c r="F253" s="362" t="s">
        <v>41</v>
      </c>
      <c r="G253" s="362"/>
      <c r="H253" s="363">
        <v>0</v>
      </c>
      <c r="I253" s="362" t="s">
        <v>101</v>
      </c>
      <c r="J253" s="362" t="s">
        <v>1208</v>
      </c>
    </row>
    <row r="254" spans="1:10" x14ac:dyDescent="0.25">
      <c r="A254" s="362" t="s">
        <v>310</v>
      </c>
      <c r="B254" s="362" t="s">
        <v>355</v>
      </c>
      <c r="C254" s="362"/>
      <c r="D254" s="362">
        <v>1.8795392519442426E-11</v>
      </c>
      <c r="E254" s="362">
        <v>1</v>
      </c>
      <c r="F254" s="362" t="s">
        <v>41</v>
      </c>
      <c r="G254" s="362"/>
      <c r="H254" s="363">
        <v>0</v>
      </c>
      <c r="I254" s="362" t="s">
        <v>101</v>
      </c>
      <c r="J254" s="362" t="s">
        <v>1208</v>
      </c>
    </row>
    <row r="255" spans="1:10" x14ac:dyDescent="0.25">
      <c r="A255" s="362" t="s">
        <v>311</v>
      </c>
      <c r="B255" s="362" t="s">
        <v>354</v>
      </c>
      <c r="C255" s="362"/>
      <c r="D255" s="362">
        <v>8.5778627582825969E-11</v>
      </c>
      <c r="E255" s="362">
        <v>1</v>
      </c>
      <c r="F255" s="362" t="s">
        <v>41</v>
      </c>
      <c r="G255" s="362"/>
      <c r="H255" s="363">
        <v>0</v>
      </c>
      <c r="I255" s="362" t="s">
        <v>101</v>
      </c>
      <c r="J255" s="362" t="s">
        <v>1208</v>
      </c>
    </row>
    <row r="256" spans="1:10" x14ac:dyDescent="0.25">
      <c r="A256" s="362" t="s">
        <v>312</v>
      </c>
      <c r="B256" s="362" t="s">
        <v>343</v>
      </c>
      <c r="C256" s="362"/>
      <c r="D256" s="362">
        <v>6.2757299502705133E-10</v>
      </c>
      <c r="E256" s="362">
        <v>1</v>
      </c>
      <c r="F256" s="362" t="s">
        <v>41</v>
      </c>
      <c r="G256" s="362"/>
      <c r="H256" s="363">
        <v>0</v>
      </c>
      <c r="I256" s="362" t="s">
        <v>101</v>
      </c>
      <c r="J256" s="362" t="s">
        <v>1208</v>
      </c>
    </row>
    <row r="257" spans="1:10" x14ac:dyDescent="0.25">
      <c r="A257" s="362" t="s">
        <v>313</v>
      </c>
      <c r="B257" s="362" t="s">
        <v>814</v>
      </c>
      <c r="C257" s="362"/>
      <c r="D257" s="362">
        <v>3.2530076560651233E-11</v>
      </c>
      <c r="E257" s="362">
        <v>1</v>
      </c>
      <c r="F257" s="362" t="s">
        <v>41</v>
      </c>
      <c r="G257" s="362"/>
      <c r="H257" s="363">
        <v>0</v>
      </c>
      <c r="I257" s="362" t="s">
        <v>101</v>
      </c>
      <c r="J257" s="362" t="s">
        <v>1208</v>
      </c>
    </row>
    <row r="258" spans="1:10" x14ac:dyDescent="0.25">
      <c r="A258" s="362" t="s">
        <v>314</v>
      </c>
      <c r="B258" s="362" t="s">
        <v>345</v>
      </c>
      <c r="C258" s="362"/>
      <c r="D258" s="362">
        <v>1.0686695278969958E-11</v>
      </c>
      <c r="E258" s="362">
        <v>1</v>
      </c>
      <c r="F258" s="362" t="s">
        <v>41</v>
      </c>
      <c r="G258" s="362"/>
      <c r="H258" s="363">
        <v>0</v>
      </c>
      <c r="I258" s="362" t="s">
        <v>101</v>
      </c>
      <c r="J258" s="362" t="s">
        <v>1208</v>
      </c>
    </row>
    <row r="259" spans="1:10" x14ac:dyDescent="0.25">
      <c r="A259" s="362" t="s">
        <v>315</v>
      </c>
      <c r="B259" s="362" t="s">
        <v>346</v>
      </c>
      <c r="C259" s="362"/>
      <c r="D259" s="362">
        <v>2.4904526072837566E-10</v>
      </c>
      <c r="E259" s="362">
        <v>1</v>
      </c>
      <c r="F259" s="362" t="s">
        <v>41</v>
      </c>
      <c r="G259" s="362"/>
      <c r="H259" s="363">
        <v>0</v>
      </c>
      <c r="I259" s="362" t="s">
        <v>101</v>
      </c>
      <c r="J259" s="362" t="s">
        <v>1208</v>
      </c>
    </row>
    <row r="260" spans="1:10" x14ac:dyDescent="0.25">
      <c r="A260" s="362" t="s">
        <v>316</v>
      </c>
      <c r="B260" s="362" t="s">
        <v>347</v>
      </c>
      <c r="C260" s="362"/>
      <c r="D260" s="362">
        <v>3.8118664871116146E-9</v>
      </c>
      <c r="E260" s="362">
        <v>1</v>
      </c>
      <c r="F260" s="362" t="s">
        <v>41</v>
      </c>
      <c r="G260" s="362"/>
      <c r="H260" s="363">
        <v>0</v>
      </c>
      <c r="I260" s="362" t="s">
        <v>101</v>
      </c>
      <c r="J260" s="362" t="s">
        <v>1208</v>
      </c>
    </row>
    <row r="261" spans="1:10" x14ac:dyDescent="0.25">
      <c r="A261" s="362" t="s">
        <v>317</v>
      </c>
      <c r="B261" s="362" t="s">
        <v>348</v>
      </c>
      <c r="C261" s="362"/>
      <c r="D261" s="362">
        <v>1.1779003610742216E-9</v>
      </c>
      <c r="E261" s="362">
        <v>1</v>
      </c>
      <c r="F261" s="362" t="s">
        <v>41</v>
      </c>
      <c r="G261" s="362"/>
      <c r="H261" s="363">
        <v>0</v>
      </c>
      <c r="I261" s="362" t="s">
        <v>101</v>
      </c>
      <c r="J261" s="362" t="s">
        <v>1208</v>
      </c>
    </row>
    <row r="262" spans="1:10" x14ac:dyDescent="0.25">
      <c r="A262" s="362" t="s">
        <v>774</v>
      </c>
      <c r="B262" s="362" t="s">
        <v>349</v>
      </c>
      <c r="C262" s="362"/>
      <c r="D262" s="362">
        <v>1.2998179086139705E-12</v>
      </c>
      <c r="E262" s="362">
        <v>1</v>
      </c>
      <c r="F262" s="362" t="s">
        <v>41</v>
      </c>
      <c r="G262" s="362"/>
      <c r="H262" s="363">
        <v>0</v>
      </c>
      <c r="I262" s="362" t="s">
        <v>101</v>
      </c>
      <c r="J262" s="362" t="s">
        <v>1208</v>
      </c>
    </row>
    <row r="263" spans="1:10" x14ac:dyDescent="0.25">
      <c r="A263" s="362" t="s">
        <v>318</v>
      </c>
      <c r="B263" s="362" t="s">
        <v>350</v>
      </c>
      <c r="C263" s="362"/>
      <c r="D263" s="362">
        <v>1.8698140200286121E-9</v>
      </c>
      <c r="E263" s="362">
        <v>1</v>
      </c>
      <c r="F263" s="362" t="s">
        <v>41</v>
      </c>
      <c r="G263" s="362"/>
      <c r="H263" s="363">
        <v>0</v>
      </c>
      <c r="I263" s="362" t="s">
        <v>101</v>
      </c>
      <c r="J263" s="362" t="s">
        <v>1208</v>
      </c>
    </row>
    <row r="264" spans="1:10" x14ac:dyDescent="0.25">
      <c r="A264" s="362" t="s">
        <v>319</v>
      </c>
      <c r="B264" s="362" t="s">
        <v>351</v>
      </c>
      <c r="C264" s="362"/>
      <c r="D264" s="362">
        <v>1.3076256696834184E-5</v>
      </c>
      <c r="E264" s="362">
        <v>1</v>
      </c>
      <c r="F264" s="362" t="s">
        <v>1209</v>
      </c>
      <c r="G264" s="362"/>
      <c r="H264" s="363">
        <v>0</v>
      </c>
      <c r="I264" s="362" t="s">
        <v>101</v>
      </c>
      <c r="J264" s="362" t="s">
        <v>1208</v>
      </c>
    </row>
    <row r="265" spans="1:10" x14ac:dyDescent="0.25">
      <c r="A265" s="362" t="s">
        <v>320</v>
      </c>
      <c r="B265" s="362" t="s">
        <v>352</v>
      </c>
      <c r="C265" s="362"/>
      <c r="D265" s="362">
        <v>4.4851897718485398E-11</v>
      </c>
      <c r="E265" s="362">
        <v>1</v>
      </c>
      <c r="F265" s="362" t="s">
        <v>41</v>
      </c>
      <c r="G265" s="362"/>
      <c r="H265" s="363">
        <v>0</v>
      </c>
      <c r="I265" s="362" t="s">
        <v>101</v>
      </c>
      <c r="J265" s="362" t="s">
        <v>1208</v>
      </c>
    </row>
    <row r="266" spans="1:10" x14ac:dyDescent="0.25">
      <c r="A266" s="362" t="s">
        <v>321</v>
      </c>
      <c r="B266" s="362" t="s">
        <v>353</v>
      </c>
      <c r="C266" s="362"/>
      <c r="D266" s="362">
        <v>1.1928978279535172E-6</v>
      </c>
      <c r="E266" s="362">
        <v>1</v>
      </c>
      <c r="F266" s="362" t="s">
        <v>41</v>
      </c>
      <c r="G266" s="362"/>
      <c r="H266" s="363">
        <v>0</v>
      </c>
      <c r="I266" s="362" t="s">
        <v>101</v>
      </c>
      <c r="J266" s="362" t="s">
        <v>1208</v>
      </c>
    </row>
    <row r="267" spans="1:10" x14ac:dyDescent="0.25">
      <c r="A267" s="362" t="s">
        <v>515</v>
      </c>
      <c r="B267" s="362" t="s">
        <v>342</v>
      </c>
      <c r="C267" s="362"/>
      <c r="D267" s="362">
        <v>7.1244635193133047E-12</v>
      </c>
      <c r="E267" s="362">
        <v>1</v>
      </c>
      <c r="F267" s="362" t="s">
        <v>41</v>
      </c>
      <c r="G267" s="362"/>
      <c r="H267" s="363">
        <v>0</v>
      </c>
      <c r="I267" s="362" t="s">
        <v>101</v>
      </c>
      <c r="J267" s="362" t="s">
        <v>1208</v>
      </c>
    </row>
    <row r="268" spans="1:10" x14ac:dyDescent="0.25">
      <c r="A268" s="362"/>
      <c r="B268" s="362"/>
      <c r="C268" s="362"/>
      <c r="D268" s="362" t="s">
        <v>1210</v>
      </c>
      <c r="E268" s="362">
        <v>1</v>
      </c>
      <c r="F268" s="362"/>
      <c r="G268" s="362"/>
      <c r="H268" s="363">
        <v>0</v>
      </c>
      <c r="I268" s="362"/>
      <c r="J268" s="362"/>
    </row>
    <row r="269" spans="1:10" x14ac:dyDescent="0.25">
      <c r="A269" t="s">
        <v>1165</v>
      </c>
    </row>
    <row r="271" spans="1:10" x14ac:dyDescent="0.25">
      <c r="A271" t="s">
        <v>1167</v>
      </c>
    </row>
    <row r="272" spans="1:10" x14ac:dyDescent="0.25">
      <c r="A272" s="358" t="s">
        <v>69</v>
      </c>
      <c r="B272" t="s">
        <v>444</v>
      </c>
      <c r="C272" t="s">
        <v>1168</v>
      </c>
      <c r="D272" t="s">
        <v>77</v>
      </c>
      <c r="E272" t="s">
        <v>1169</v>
      </c>
      <c r="F272" t="s">
        <v>62</v>
      </c>
      <c r="G272" t="s">
        <v>1170</v>
      </c>
      <c r="H272" t="s">
        <v>1171</v>
      </c>
      <c r="I272" t="s">
        <v>62</v>
      </c>
    </row>
    <row r="273" spans="1:10" x14ac:dyDescent="0.25">
      <c r="A273" t="s">
        <v>1172</v>
      </c>
    </row>
    <row r="274" spans="1:10" x14ac:dyDescent="0.25">
      <c r="A274" s="358" t="s">
        <v>69</v>
      </c>
      <c r="B274" t="s">
        <v>1173</v>
      </c>
      <c r="C274" t="s">
        <v>1174</v>
      </c>
      <c r="D274" t="s">
        <v>62</v>
      </c>
      <c r="E274" s="358" t="s">
        <v>1175</v>
      </c>
      <c r="F274" t="s">
        <v>62</v>
      </c>
      <c r="G274" t="s">
        <v>1170</v>
      </c>
      <c r="H274" t="s">
        <v>1171</v>
      </c>
      <c r="I274" t="s">
        <v>62</v>
      </c>
    </row>
    <row r="275" spans="1:10" x14ac:dyDescent="0.25">
      <c r="A275" t="s">
        <v>1176</v>
      </c>
    </row>
    <row r="276" spans="1:10" x14ac:dyDescent="0.25">
      <c r="A276" s="358" t="s">
        <v>69</v>
      </c>
      <c r="B276" t="s">
        <v>1177</v>
      </c>
      <c r="C276" t="s">
        <v>1174</v>
      </c>
      <c r="D276" t="s">
        <v>62</v>
      </c>
      <c r="E276" t="s">
        <v>1178</v>
      </c>
      <c r="F276" t="s">
        <v>62</v>
      </c>
      <c r="G276" t="s">
        <v>1170</v>
      </c>
      <c r="H276" t="s">
        <v>1171</v>
      </c>
      <c r="I276" t="s">
        <v>62</v>
      </c>
    </row>
    <row r="277" spans="1:10" x14ac:dyDescent="0.25">
      <c r="A277" t="s">
        <v>1179</v>
      </c>
    </row>
    <row r="278" spans="1:10" x14ac:dyDescent="0.25">
      <c r="A278" t="s">
        <v>1180</v>
      </c>
      <c r="B278">
        <v>1</v>
      </c>
    </row>
    <row r="279" spans="1:10" x14ac:dyDescent="0.25">
      <c r="A279" t="s">
        <v>1088</v>
      </c>
      <c r="B279">
        <v>2012</v>
      </c>
    </row>
    <row r="280" spans="1:10" x14ac:dyDescent="0.25">
      <c r="A280" t="s">
        <v>97</v>
      </c>
      <c r="B280" t="s">
        <v>1161</v>
      </c>
    </row>
    <row r="281" spans="1:10" x14ac:dyDescent="0.25">
      <c r="A281" t="s">
        <v>1165</v>
      </c>
    </row>
    <row r="283" spans="1:10" x14ac:dyDescent="0.25">
      <c r="A283" t="s">
        <v>1181</v>
      </c>
    </row>
    <row r="284" spans="1:10" x14ac:dyDescent="0.25">
      <c r="A284" t="s">
        <v>444</v>
      </c>
      <c r="B284" t="s">
        <v>1163</v>
      </c>
      <c r="C284" t="s">
        <v>1182</v>
      </c>
      <c r="D284" t="s">
        <v>62</v>
      </c>
      <c r="E284" t="s">
        <v>1159</v>
      </c>
      <c r="F284" t="s">
        <v>75</v>
      </c>
      <c r="G284" t="s">
        <v>1183</v>
      </c>
      <c r="H284" t="s">
        <v>62</v>
      </c>
      <c r="I284" t="s">
        <v>1159</v>
      </c>
      <c r="J284" t="s">
        <v>75</v>
      </c>
    </row>
    <row r="285" spans="1:10" x14ac:dyDescent="0.25">
      <c r="A285" t="s">
        <v>1184</v>
      </c>
      <c r="B285" t="s">
        <v>1185</v>
      </c>
      <c r="C285">
        <v>0</v>
      </c>
      <c r="D285" t="s">
        <v>1186</v>
      </c>
      <c r="E285" s="361">
        <v>0</v>
      </c>
      <c r="F285" t="s">
        <v>1187</v>
      </c>
      <c r="G285">
        <v>0</v>
      </c>
      <c r="H285" t="s">
        <v>1186</v>
      </c>
      <c r="I285" s="361">
        <v>0</v>
      </c>
      <c r="J285" t="s">
        <v>1187</v>
      </c>
    </row>
    <row r="286" spans="1:10" x14ac:dyDescent="0.25">
      <c r="A286" t="s">
        <v>1188</v>
      </c>
      <c r="B286" t="s">
        <v>1185</v>
      </c>
      <c r="C286">
        <v>0</v>
      </c>
      <c r="D286" t="s">
        <v>1186</v>
      </c>
      <c r="E286" s="361">
        <v>0</v>
      </c>
      <c r="F286" t="s">
        <v>1187</v>
      </c>
      <c r="G286">
        <v>0</v>
      </c>
      <c r="H286" t="s">
        <v>1186</v>
      </c>
      <c r="I286" s="361">
        <v>0</v>
      </c>
      <c r="J286" t="s">
        <v>1187</v>
      </c>
    </row>
    <row r="287" spans="1:10" x14ac:dyDescent="0.25">
      <c r="A287" t="s">
        <v>1189</v>
      </c>
      <c r="B287" t="s">
        <v>1185</v>
      </c>
      <c r="C287">
        <v>0</v>
      </c>
      <c r="D287" t="s">
        <v>1186</v>
      </c>
      <c r="E287" s="361">
        <v>0</v>
      </c>
      <c r="F287" t="s">
        <v>1187</v>
      </c>
      <c r="G287">
        <v>0</v>
      </c>
      <c r="H287" t="s">
        <v>1186</v>
      </c>
      <c r="I287" s="361">
        <v>0</v>
      </c>
      <c r="J287" t="s">
        <v>1187</v>
      </c>
    </row>
    <row r="288" spans="1:10" x14ac:dyDescent="0.25">
      <c r="A288" t="s">
        <v>1190</v>
      </c>
      <c r="B288" t="s">
        <v>1185</v>
      </c>
      <c r="C288">
        <v>0</v>
      </c>
      <c r="D288" t="s">
        <v>1186</v>
      </c>
      <c r="E288" s="361">
        <v>0</v>
      </c>
      <c r="F288" t="s">
        <v>1187</v>
      </c>
      <c r="G288">
        <v>0</v>
      </c>
      <c r="H288" t="s">
        <v>1186</v>
      </c>
      <c r="I288" s="361">
        <v>0</v>
      </c>
      <c r="J288" t="s">
        <v>1187</v>
      </c>
    </row>
    <row r="289" spans="1:10" x14ac:dyDescent="0.25">
      <c r="A289" t="s">
        <v>1191</v>
      </c>
      <c r="B289" t="s">
        <v>1185</v>
      </c>
      <c r="C289">
        <v>0</v>
      </c>
      <c r="D289" t="s">
        <v>1186</v>
      </c>
      <c r="E289" s="361">
        <v>0</v>
      </c>
      <c r="F289" t="s">
        <v>1187</v>
      </c>
      <c r="G289">
        <v>0</v>
      </c>
      <c r="H289" t="s">
        <v>1186</v>
      </c>
      <c r="I289" s="361">
        <v>0</v>
      </c>
      <c r="J289" t="s">
        <v>1187</v>
      </c>
    </row>
    <row r="290" spans="1:10" x14ac:dyDescent="0.25">
      <c r="A290" t="s">
        <v>1192</v>
      </c>
    </row>
    <row r="291" spans="1:10" x14ac:dyDescent="0.25">
      <c r="A291" t="s">
        <v>444</v>
      </c>
      <c r="B291" t="s">
        <v>1163</v>
      </c>
      <c r="C291" t="s">
        <v>1182</v>
      </c>
      <c r="D291" t="s">
        <v>62</v>
      </c>
      <c r="E291" t="s">
        <v>1159</v>
      </c>
      <c r="F291" t="s">
        <v>75</v>
      </c>
      <c r="G291" t="s">
        <v>1183</v>
      </c>
      <c r="H291" t="s">
        <v>62</v>
      </c>
      <c r="I291" t="s">
        <v>1159</v>
      </c>
      <c r="J291" t="s">
        <v>75</v>
      </c>
    </row>
    <row r="292" spans="1:10" x14ac:dyDescent="0.25">
      <c r="A292" t="s">
        <v>1193</v>
      </c>
      <c r="B292" t="s">
        <v>1194</v>
      </c>
      <c r="C292">
        <v>0</v>
      </c>
      <c r="D292" t="s">
        <v>1195</v>
      </c>
      <c r="E292" s="361">
        <v>0</v>
      </c>
      <c r="F292" t="s">
        <v>1187</v>
      </c>
      <c r="G292">
        <v>0</v>
      </c>
      <c r="H292" t="s">
        <v>1195</v>
      </c>
      <c r="I292" s="361">
        <v>0</v>
      </c>
      <c r="J292" t="s">
        <v>1187</v>
      </c>
    </row>
    <row r="293" spans="1:10" x14ac:dyDescent="0.25">
      <c r="A293" t="s">
        <v>1196</v>
      </c>
      <c r="B293" t="s">
        <v>1194</v>
      </c>
      <c r="C293">
        <v>0</v>
      </c>
      <c r="D293" t="s">
        <v>1195</v>
      </c>
      <c r="E293" s="361">
        <v>0</v>
      </c>
      <c r="F293" t="s">
        <v>1187</v>
      </c>
      <c r="G293">
        <v>0</v>
      </c>
      <c r="H293" t="s">
        <v>1195</v>
      </c>
      <c r="I293" s="361">
        <v>0</v>
      </c>
      <c r="J293" t="s">
        <v>1187</v>
      </c>
    </row>
    <row r="294" spans="1:10" x14ac:dyDescent="0.25">
      <c r="A294" t="s">
        <v>1197</v>
      </c>
      <c r="B294" t="s">
        <v>1185</v>
      </c>
      <c r="C294">
        <v>0</v>
      </c>
      <c r="D294" t="s">
        <v>1186</v>
      </c>
      <c r="E294" s="361">
        <v>0</v>
      </c>
      <c r="F294" t="s">
        <v>1187</v>
      </c>
      <c r="G294">
        <v>0</v>
      </c>
      <c r="H294" t="s">
        <v>1186</v>
      </c>
      <c r="I294" s="361">
        <v>0</v>
      </c>
      <c r="J294" t="s">
        <v>1187</v>
      </c>
    </row>
    <row r="295" spans="1:10" x14ac:dyDescent="0.25">
      <c r="A295" t="s">
        <v>1198</v>
      </c>
    </row>
    <row r="296" spans="1:10" x14ac:dyDescent="0.25">
      <c r="A296" t="s">
        <v>444</v>
      </c>
      <c r="B296" t="s">
        <v>1163</v>
      </c>
      <c r="C296" t="s">
        <v>1182</v>
      </c>
      <c r="D296" t="s">
        <v>62</v>
      </c>
      <c r="E296" t="s">
        <v>1159</v>
      </c>
      <c r="F296" t="s">
        <v>75</v>
      </c>
      <c r="G296" t="s">
        <v>1183</v>
      </c>
      <c r="H296" t="s">
        <v>62</v>
      </c>
      <c r="I296" t="s">
        <v>1159</v>
      </c>
      <c r="J296" t="s">
        <v>75</v>
      </c>
    </row>
    <row r="297" spans="1:10" x14ac:dyDescent="0.25">
      <c r="A297" t="s">
        <v>1199</v>
      </c>
      <c r="B297" t="s">
        <v>1185</v>
      </c>
      <c r="C297">
        <v>0</v>
      </c>
      <c r="D297" t="s">
        <v>1186</v>
      </c>
      <c r="E297" s="361">
        <v>0</v>
      </c>
      <c r="F297" t="s">
        <v>1187</v>
      </c>
      <c r="G297">
        <v>0</v>
      </c>
      <c r="H297" t="s">
        <v>1186</v>
      </c>
      <c r="I297" s="361">
        <v>0</v>
      </c>
      <c r="J297" t="s">
        <v>1187</v>
      </c>
    </row>
    <row r="298" spans="1:10" x14ac:dyDescent="0.25">
      <c r="A298" t="s">
        <v>1200</v>
      </c>
      <c r="B298" t="s">
        <v>1185</v>
      </c>
      <c r="C298">
        <v>0</v>
      </c>
      <c r="D298" t="s">
        <v>1186</v>
      </c>
      <c r="E298" s="361">
        <v>0</v>
      </c>
      <c r="F298" t="s">
        <v>1187</v>
      </c>
      <c r="G298">
        <v>0</v>
      </c>
      <c r="H298" t="s">
        <v>1186</v>
      </c>
      <c r="I298" s="361">
        <v>0</v>
      </c>
      <c r="J298" t="s">
        <v>1187</v>
      </c>
    </row>
    <row r="299" spans="1:10" x14ac:dyDescent="0.25">
      <c r="A299" t="s">
        <v>1201</v>
      </c>
      <c r="B299" t="s">
        <v>1185</v>
      </c>
      <c r="C299">
        <v>0</v>
      </c>
      <c r="D299" t="s">
        <v>1186</v>
      </c>
      <c r="E299" s="361">
        <v>0</v>
      </c>
      <c r="F299" t="s">
        <v>1187</v>
      </c>
      <c r="G299">
        <v>0</v>
      </c>
      <c r="H299" t="s">
        <v>1186</v>
      </c>
      <c r="I299" s="361">
        <v>0</v>
      </c>
      <c r="J299" t="s">
        <v>1187</v>
      </c>
    </row>
    <row r="300" spans="1:10" x14ac:dyDescent="0.25">
      <c r="A300" t="s">
        <v>1202</v>
      </c>
      <c r="B300" t="s">
        <v>1185</v>
      </c>
      <c r="C300">
        <v>0</v>
      </c>
      <c r="D300" t="s">
        <v>1186</v>
      </c>
      <c r="E300" s="361">
        <v>0</v>
      </c>
      <c r="F300" t="s">
        <v>1187</v>
      </c>
      <c r="G300">
        <v>0</v>
      </c>
      <c r="H300" t="s">
        <v>1186</v>
      </c>
      <c r="I300" s="361">
        <v>0</v>
      </c>
      <c r="J300" t="s">
        <v>1187</v>
      </c>
    </row>
    <row r="301" spans="1:10" x14ac:dyDescent="0.25">
      <c r="A301" t="s">
        <v>1203</v>
      </c>
      <c r="B301" t="s">
        <v>1185</v>
      </c>
      <c r="C301">
        <v>0</v>
      </c>
      <c r="D301" t="s">
        <v>1186</v>
      </c>
      <c r="E301" s="361">
        <v>0</v>
      </c>
      <c r="F301" t="s">
        <v>1187</v>
      </c>
      <c r="G301">
        <v>0</v>
      </c>
      <c r="H301" t="s">
        <v>1186</v>
      </c>
      <c r="I301" s="361">
        <v>0</v>
      </c>
      <c r="J301" t="s">
        <v>1187</v>
      </c>
    </row>
    <row r="302" spans="1:10" x14ac:dyDescent="0.25">
      <c r="A302" t="s">
        <v>1204</v>
      </c>
      <c r="B302" t="s">
        <v>1185</v>
      </c>
      <c r="C302">
        <v>0</v>
      </c>
      <c r="D302" t="s">
        <v>1186</v>
      </c>
      <c r="E302" s="361">
        <v>0</v>
      </c>
      <c r="F302" t="s">
        <v>1187</v>
      </c>
      <c r="G302">
        <v>0</v>
      </c>
      <c r="H302" t="s">
        <v>1186</v>
      </c>
      <c r="I302" s="361">
        <v>0</v>
      </c>
      <c r="J302" t="s">
        <v>1187</v>
      </c>
    </row>
    <row r="303" spans="1:10" x14ac:dyDescent="0.25">
      <c r="A303" t="s">
        <v>1205</v>
      </c>
      <c r="B303" t="s">
        <v>1185</v>
      </c>
      <c r="C303">
        <v>0</v>
      </c>
      <c r="D303" t="s">
        <v>1186</v>
      </c>
      <c r="E303" s="361">
        <v>0</v>
      </c>
      <c r="F303" t="s">
        <v>1187</v>
      </c>
      <c r="G303">
        <v>0</v>
      </c>
      <c r="H303" t="s">
        <v>1186</v>
      </c>
      <c r="I303" s="361">
        <v>0</v>
      </c>
      <c r="J303" t="s">
        <v>1187</v>
      </c>
    </row>
    <row r="304" spans="1:10" x14ac:dyDescent="0.25">
      <c r="A304" t="s">
        <v>1206</v>
      </c>
      <c r="B304" t="s">
        <v>1185</v>
      </c>
      <c r="C304">
        <v>0</v>
      </c>
      <c r="D304" t="s">
        <v>1186</v>
      </c>
      <c r="E304" s="361">
        <v>0</v>
      </c>
      <c r="F304" t="s">
        <v>1187</v>
      </c>
      <c r="G304">
        <v>0</v>
      </c>
      <c r="H304" t="s">
        <v>1186</v>
      </c>
      <c r="I304" s="361">
        <v>0</v>
      </c>
      <c r="J304" t="s">
        <v>1187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Z243"/>
  <sheetViews>
    <sheetView showGridLines="0" zoomScale="90" zoomScaleNormal="90" zoomScalePageLayoutView="40" workbookViewId="0"/>
  </sheetViews>
  <sheetFormatPr defaultColWidth="9.140625" defaultRowHeight="15" x14ac:dyDescent="0.25"/>
  <cols>
    <col min="1" max="1" width="1.85546875" customWidth="1"/>
    <col min="2" max="2" width="3.5703125" customWidth="1"/>
    <col min="3" max="3" width="29.5703125" customWidth="1"/>
    <col min="4" max="4" width="55.85546875" customWidth="1"/>
    <col min="5" max="6" width="12.42578125" customWidth="1"/>
    <col min="7" max="7" width="12.85546875" customWidth="1"/>
    <col min="8" max="8" width="13.5703125" customWidth="1"/>
    <col min="9" max="10" width="12.5703125" customWidth="1"/>
    <col min="11" max="11" width="14.42578125" customWidth="1"/>
    <col min="12" max="12" width="12" customWidth="1"/>
    <col min="13" max="13" width="11.42578125" customWidth="1"/>
    <col min="14" max="14" width="11.5703125" bestFit="1" customWidth="1"/>
    <col min="15" max="15" width="14.5703125" customWidth="1"/>
    <col min="16" max="16" width="13" customWidth="1"/>
    <col min="17" max="17" width="49" customWidth="1"/>
    <col min="18" max="18" width="2.140625" customWidth="1"/>
  </cols>
  <sheetData>
    <row r="1" spans="1:26" ht="20.25" x14ac:dyDescent="0.3">
      <c r="A1" s="2"/>
      <c r="B1" s="373" t="s">
        <v>0</v>
      </c>
      <c r="C1" s="373"/>
      <c r="D1" s="373"/>
      <c r="E1" s="373"/>
      <c r="F1" s="373"/>
      <c r="G1" s="373"/>
      <c r="H1" s="373"/>
      <c r="I1" s="373"/>
      <c r="J1" s="373"/>
      <c r="K1" s="373"/>
      <c r="L1" s="373"/>
      <c r="M1" s="373"/>
      <c r="N1" s="373"/>
      <c r="O1" s="373"/>
      <c r="P1" s="373"/>
      <c r="Q1" s="373"/>
      <c r="R1" s="373"/>
      <c r="S1" s="2"/>
      <c r="T1" s="2"/>
      <c r="U1" s="2"/>
      <c r="V1" s="2"/>
      <c r="W1" s="2"/>
      <c r="X1" s="2"/>
      <c r="Y1" s="2"/>
      <c r="Z1" s="2"/>
    </row>
    <row r="2" spans="1:26" ht="20.25" x14ac:dyDescent="0.3">
      <c r="A2" s="2"/>
      <c r="B2" s="373" t="s">
        <v>38</v>
      </c>
      <c r="C2" s="373"/>
      <c r="D2" s="373"/>
      <c r="E2" s="373"/>
      <c r="F2" s="373"/>
      <c r="G2" s="373"/>
      <c r="H2" s="373"/>
      <c r="I2" s="373"/>
      <c r="J2" s="373"/>
      <c r="K2" s="373"/>
      <c r="L2" s="373"/>
      <c r="M2" s="373"/>
      <c r="N2" s="373"/>
      <c r="O2" s="373"/>
      <c r="P2" s="373"/>
      <c r="Q2" s="373"/>
      <c r="R2" s="373"/>
      <c r="S2" s="2"/>
      <c r="T2" s="2"/>
      <c r="U2" s="2"/>
      <c r="V2" s="2"/>
      <c r="W2" s="2"/>
      <c r="X2" s="2"/>
      <c r="Y2" s="2"/>
      <c r="Z2" s="2"/>
    </row>
    <row r="3" spans="1:26" ht="5.25" customHeight="1" x14ac:dyDescent="0.25">
      <c r="A3" s="2"/>
      <c r="B3" s="9"/>
      <c r="C3" s="2"/>
      <c r="D3" s="2"/>
      <c r="E3" s="2"/>
      <c r="F3" s="2"/>
      <c r="G3" s="2"/>
      <c r="H3" s="2"/>
      <c r="I3" s="2"/>
      <c r="J3" s="2"/>
      <c r="K3" s="2"/>
      <c r="L3" s="2"/>
      <c r="M3" s="2"/>
      <c r="N3" s="2"/>
      <c r="O3" s="2"/>
      <c r="P3" s="2"/>
      <c r="Q3" s="2"/>
      <c r="R3" s="2"/>
      <c r="S3" s="2"/>
      <c r="T3" s="2"/>
      <c r="U3" s="2"/>
      <c r="V3" s="2"/>
      <c r="W3" s="2"/>
      <c r="X3" s="2"/>
      <c r="Y3" s="2"/>
      <c r="Z3" s="2"/>
    </row>
    <row r="4" spans="1:26" ht="15.75" thickBot="1" x14ac:dyDescent="0.3">
      <c r="A4" s="2"/>
      <c r="B4" s="398" t="s">
        <v>39</v>
      </c>
      <c r="C4" s="398"/>
      <c r="D4" s="21" t="s">
        <v>833</v>
      </c>
      <c r="E4" s="22"/>
      <c r="F4" s="2"/>
      <c r="G4" s="2"/>
      <c r="H4" s="2"/>
      <c r="I4" s="2"/>
      <c r="J4" s="2"/>
      <c r="K4" s="2"/>
      <c r="L4" s="2"/>
      <c r="M4" s="2"/>
      <c r="N4" s="2"/>
      <c r="O4" s="2"/>
      <c r="P4" s="2"/>
      <c r="Q4" s="2"/>
      <c r="R4" s="2"/>
      <c r="S4" s="2"/>
      <c r="T4" s="2"/>
      <c r="U4" s="2"/>
      <c r="V4" s="2"/>
      <c r="W4" s="2"/>
      <c r="X4" s="2"/>
      <c r="Y4" s="2"/>
      <c r="Z4" s="2"/>
    </row>
    <row r="5" spans="1:26" ht="15.75" thickBot="1" x14ac:dyDescent="0.3">
      <c r="A5" s="2"/>
      <c r="B5" s="398" t="s">
        <v>40</v>
      </c>
      <c r="C5" s="398"/>
      <c r="D5" s="23">
        <v>1</v>
      </c>
      <c r="E5" s="24" t="s">
        <v>41</v>
      </c>
      <c r="F5" s="25" t="s">
        <v>42</v>
      </c>
      <c r="G5" s="406" t="s">
        <v>980</v>
      </c>
      <c r="H5" s="406"/>
      <c r="I5" s="406"/>
      <c r="J5" s="406"/>
      <c r="K5" s="406"/>
      <c r="L5" s="2"/>
      <c r="M5" s="2"/>
      <c r="N5" s="26" t="s">
        <v>17</v>
      </c>
      <c r="O5" s="27" t="str">
        <f>DQI!I8</f>
        <v>4,3,3,4,1</v>
      </c>
      <c r="P5" s="28"/>
      <c r="Q5" s="17" t="s">
        <v>43</v>
      </c>
      <c r="R5" s="2"/>
      <c r="S5" s="2"/>
      <c r="T5" s="2"/>
      <c r="U5" s="2"/>
      <c r="V5" s="2"/>
      <c r="W5" s="2"/>
      <c r="X5" s="2"/>
      <c r="Y5" s="2"/>
      <c r="Z5" s="2"/>
    </row>
    <row r="6" spans="1:26" ht="27.75" customHeight="1" x14ac:dyDescent="0.25">
      <c r="A6" s="2"/>
      <c r="B6" s="407" t="s">
        <v>44</v>
      </c>
      <c r="C6" s="408"/>
      <c r="D6" s="409" t="s">
        <v>398</v>
      </c>
      <c r="E6" s="410"/>
      <c r="F6" s="410"/>
      <c r="G6" s="410"/>
      <c r="H6" s="410"/>
      <c r="I6" s="410"/>
      <c r="J6" s="410"/>
      <c r="K6" s="410"/>
      <c r="L6" s="410"/>
      <c r="M6" s="410"/>
      <c r="N6" s="410"/>
      <c r="O6" s="410"/>
      <c r="P6" s="411"/>
      <c r="Q6" s="29"/>
      <c r="R6" s="2"/>
      <c r="S6" s="2"/>
      <c r="T6" s="2"/>
      <c r="U6" s="2"/>
      <c r="V6" s="2"/>
      <c r="W6" s="2"/>
      <c r="X6" s="2"/>
      <c r="Y6" s="2"/>
      <c r="Z6" s="2"/>
    </row>
    <row r="7" spans="1:26" ht="15.75" thickBot="1" x14ac:dyDescent="0.3">
      <c r="A7" s="2"/>
      <c r="B7" s="9"/>
      <c r="C7" s="2"/>
      <c r="D7" s="2"/>
      <c r="E7" s="2"/>
      <c r="F7" s="2"/>
      <c r="G7" s="2"/>
      <c r="H7" s="2"/>
      <c r="I7" s="2"/>
      <c r="J7" s="2"/>
      <c r="K7" s="2"/>
      <c r="L7" s="2"/>
      <c r="M7" s="2"/>
      <c r="N7" s="2"/>
      <c r="O7" s="2"/>
      <c r="P7" s="2"/>
      <c r="Q7" s="2"/>
      <c r="R7" s="2"/>
      <c r="S7" s="2"/>
      <c r="T7" s="2"/>
      <c r="U7" s="2"/>
      <c r="V7" s="2"/>
      <c r="W7" s="2"/>
      <c r="X7" s="2"/>
      <c r="Y7" s="2"/>
      <c r="Z7" s="2"/>
    </row>
    <row r="8" spans="1:26" ht="15.75" thickBot="1" x14ac:dyDescent="0.3">
      <c r="A8" s="30"/>
      <c r="B8" s="400" t="s">
        <v>45</v>
      </c>
      <c r="C8" s="401"/>
      <c r="D8" s="401"/>
      <c r="E8" s="401"/>
      <c r="F8" s="401"/>
      <c r="G8" s="401"/>
      <c r="H8" s="401"/>
      <c r="I8" s="401"/>
      <c r="J8" s="401"/>
      <c r="K8" s="401"/>
      <c r="L8" s="401"/>
      <c r="M8" s="401"/>
      <c r="N8" s="401"/>
      <c r="O8" s="401"/>
      <c r="P8" s="401"/>
      <c r="Q8" s="402"/>
      <c r="R8" s="30"/>
      <c r="S8" s="30"/>
      <c r="T8" s="30"/>
      <c r="U8" s="30"/>
      <c r="V8" s="30"/>
      <c r="W8" s="30"/>
      <c r="X8" s="30"/>
      <c r="Y8" s="30"/>
      <c r="Z8" s="30"/>
    </row>
    <row r="9" spans="1:26" x14ac:dyDescent="0.25">
      <c r="A9" s="2"/>
      <c r="B9" s="9"/>
      <c r="C9" s="2"/>
      <c r="D9" s="2"/>
      <c r="E9" s="2"/>
      <c r="F9" s="2"/>
      <c r="G9" s="2"/>
      <c r="H9" s="2"/>
      <c r="I9" s="2"/>
      <c r="J9" s="2"/>
      <c r="K9" s="2"/>
      <c r="L9" s="2"/>
      <c r="M9" s="2"/>
      <c r="N9" s="2"/>
      <c r="O9" s="2"/>
      <c r="P9" s="2"/>
      <c r="Q9" s="2"/>
      <c r="R9" s="2"/>
      <c r="S9" s="2"/>
      <c r="T9" s="2"/>
      <c r="U9" s="2"/>
      <c r="V9" s="2"/>
      <c r="W9" s="2"/>
      <c r="X9" s="2"/>
      <c r="Y9" s="2"/>
      <c r="Z9" s="2"/>
    </row>
    <row r="10" spans="1:26" x14ac:dyDescent="0.25">
      <c r="A10" s="2"/>
      <c r="B10" s="398" t="s">
        <v>46</v>
      </c>
      <c r="C10" s="398"/>
      <c r="D10" s="412" t="s">
        <v>815</v>
      </c>
      <c r="E10" s="413"/>
      <c r="F10" s="2"/>
      <c r="G10" s="31" t="s">
        <v>47</v>
      </c>
      <c r="H10" s="32"/>
      <c r="I10" s="32"/>
      <c r="J10" s="32"/>
      <c r="K10" s="32"/>
      <c r="L10" s="32"/>
      <c r="M10" s="32"/>
      <c r="N10" s="32"/>
      <c r="O10" s="32"/>
      <c r="P10" s="33"/>
      <c r="Q10" s="2"/>
      <c r="R10" s="2"/>
      <c r="S10" s="2"/>
      <c r="T10" s="2"/>
      <c r="U10" s="2"/>
      <c r="V10" s="2"/>
      <c r="W10" s="2"/>
      <c r="X10" s="2"/>
      <c r="Y10" s="2"/>
      <c r="Z10" s="2"/>
    </row>
    <row r="11" spans="1:26" x14ac:dyDescent="0.25">
      <c r="A11" s="2"/>
      <c r="B11" s="414" t="s">
        <v>48</v>
      </c>
      <c r="C11" s="415"/>
      <c r="D11" s="394"/>
      <c r="E11" s="413"/>
      <c r="F11" s="2"/>
      <c r="G11" s="34" t="str">
        <f>CONCATENATE("Reference Flow: ",D5," ",E5," of ",G5)</f>
        <v>Reference Flow: 1 kg of concrete product</v>
      </c>
      <c r="H11" s="35"/>
      <c r="I11" s="35"/>
      <c r="J11" s="35"/>
      <c r="K11" s="35"/>
      <c r="L11" s="35"/>
      <c r="M11" s="35"/>
      <c r="N11" s="35"/>
      <c r="O11" s="35"/>
      <c r="P11" s="36"/>
      <c r="Q11" s="2"/>
      <c r="R11" s="2"/>
      <c r="S11" s="2"/>
      <c r="T11" s="2"/>
      <c r="U11" s="2"/>
      <c r="V11" s="2"/>
      <c r="W11" s="2"/>
      <c r="X11" s="2"/>
      <c r="Y11" s="2"/>
      <c r="Z11" s="2"/>
    </row>
    <row r="12" spans="1:26" x14ac:dyDescent="0.25">
      <c r="A12" s="2"/>
      <c r="B12" s="398" t="s">
        <v>49</v>
      </c>
      <c r="C12" s="398"/>
      <c r="D12" s="397">
        <v>2007</v>
      </c>
      <c r="E12" s="397"/>
      <c r="F12" s="2"/>
      <c r="G12" s="34"/>
      <c r="H12" s="35"/>
      <c r="I12" s="35"/>
      <c r="J12" s="35"/>
      <c r="K12" s="35"/>
      <c r="L12" s="35"/>
      <c r="M12" s="35"/>
      <c r="N12" s="35"/>
      <c r="O12" s="35"/>
      <c r="P12" s="36"/>
      <c r="Q12" s="2"/>
      <c r="R12" s="2"/>
      <c r="S12" s="2"/>
      <c r="T12" s="2"/>
      <c r="U12" s="2"/>
      <c r="V12" s="2"/>
      <c r="W12" s="2"/>
      <c r="X12" s="2"/>
      <c r="Y12" s="2"/>
      <c r="Z12" s="2"/>
    </row>
    <row r="13" spans="1:26" ht="12.75" customHeight="1" x14ac:dyDescent="0.25">
      <c r="A13" s="2"/>
      <c r="B13" s="398" t="s">
        <v>50</v>
      </c>
      <c r="C13" s="398"/>
      <c r="D13" s="397" t="s">
        <v>103</v>
      </c>
      <c r="E13" s="397"/>
      <c r="F13" s="2"/>
      <c r="G13" s="416" t="s">
        <v>1058</v>
      </c>
      <c r="H13" s="417"/>
      <c r="I13" s="417"/>
      <c r="J13" s="417"/>
      <c r="K13" s="417"/>
      <c r="L13" s="417"/>
      <c r="M13" s="417"/>
      <c r="N13" s="417"/>
      <c r="O13" s="417"/>
      <c r="P13" s="418"/>
      <c r="Q13" s="2"/>
      <c r="R13" s="2"/>
      <c r="S13" s="2"/>
      <c r="T13" s="2"/>
      <c r="U13" s="2"/>
      <c r="V13" s="2"/>
      <c r="W13" s="2"/>
      <c r="X13" s="2"/>
      <c r="Y13" s="2"/>
      <c r="Z13" s="2"/>
    </row>
    <row r="14" spans="1:26" x14ac:dyDescent="0.25">
      <c r="A14" s="2"/>
      <c r="B14" s="398" t="s">
        <v>51</v>
      </c>
      <c r="C14" s="398"/>
      <c r="D14" s="397" t="s">
        <v>104</v>
      </c>
      <c r="E14" s="397"/>
      <c r="F14" s="2"/>
      <c r="G14" s="416"/>
      <c r="H14" s="417"/>
      <c r="I14" s="417"/>
      <c r="J14" s="417"/>
      <c r="K14" s="417"/>
      <c r="L14" s="417"/>
      <c r="M14" s="417"/>
      <c r="N14" s="417"/>
      <c r="O14" s="417"/>
      <c r="P14" s="418"/>
      <c r="Q14" s="2"/>
      <c r="R14" s="2"/>
      <c r="S14" s="2"/>
      <c r="T14" s="2"/>
      <c r="U14" s="2"/>
      <c r="V14" s="2"/>
      <c r="W14" s="2"/>
      <c r="X14" s="2"/>
      <c r="Y14" s="2"/>
      <c r="Z14" s="2"/>
    </row>
    <row r="15" spans="1:26" x14ac:dyDescent="0.25">
      <c r="A15" s="2"/>
      <c r="B15" s="398" t="s">
        <v>52</v>
      </c>
      <c r="C15" s="398"/>
      <c r="D15" s="397" t="s">
        <v>832</v>
      </c>
      <c r="E15" s="397"/>
      <c r="F15" s="2"/>
      <c r="G15" s="416"/>
      <c r="H15" s="417"/>
      <c r="I15" s="417"/>
      <c r="J15" s="417"/>
      <c r="K15" s="417"/>
      <c r="L15" s="417"/>
      <c r="M15" s="417"/>
      <c r="N15" s="417"/>
      <c r="O15" s="417"/>
      <c r="P15" s="418"/>
      <c r="Q15" s="2"/>
      <c r="R15" s="2"/>
      <c r="S15" s="2"/>
      <c r="T15" s="2"/>
      <c r="U15" s="2"/>
      <c r="V15" s="2"/>
      <c r="W15" s="2"/>
      <c r="X15" s="2"/>
      <c r="Y15" s="2"/>
      <c r="Z15" s="2"/>
    </row>
    <row r="16" spans="1:26" x14ac:dyDescent="0.25">
      <c r="A16" s="2"/>
      <c r="B16" s="398" t="s">
        <v>53</v>
      </c>
      <c r="C16" s="398"/>
      <c r="D16" s="397" t="s">
        <v>105</v>
      </c>
      <c r="E16" s="397"/>
      <c r="F16" s="2"/>
      <c r="G16" s="416"/>
      <c r="H16" s="417"/>
      <c r="I16" s="417"/>
      <c r="J16" s="417"/>
      <c r="K16" s="417"/>
      <c r="L16" s="417"/>
      <c r="M16" s="417"/>
      <c r="N16" s="417"/>
      <c r="O16" s="417"/>
      <c r="P16" s="418"/>
      <c r="Q16" s="2"/>
      <c r="R16" s="2"/>
      <c r="S16" s="2"/>
      <c r="T16" s="2"/>
      <c r="U16" s="2"/>
      <c r="V16" s="2"/>
      <c r="W16" s="2"/>
      <c r="X16" s="2"/>
      <c r="Y16" s="2"/>
      <c r="Z16" s="2"/>
    </row>
    <row r="17" spans="1:26" ht="23.45" customHeight="1" x14ac:dyDescent="0.25">
      <c r="A17" s="2"/>
      <c r="B17" s="403" t="s">
        <v>54</v>
      </c>
      <c r="C17" s="404"/>
      <c r="D17" s="405"/>
      <c r="E17" s="405"/>
      <c r="F17" s="2"/>
      <c r="G17" s="37" t="s">
        <v>834</v>
      </c>
      <c r="H17" s="38"/>
      <c r="I17" s="38"/>
      <c r="J17" s="38"/>
      <c r="K17" s="38"/>
      <c r="L17" s="38"/>
      <c r="M17" s="38"/>
      <c r="N17" s="38"/>
      <c r="O17" s="38"/>
      <c r="P17" s="39"/>
      <c r="Q17" s="2"/>
      <c r="R17" s="2"/>
      <c r="S17" s="2"/>
      <c r="T17" s="2"/>
      <c r="U17" s="2"/>
      <c r="V17" s="2"/>
      <c r="W17" s="2"/>
      <c r="X17" s="2"/>
      <c r="Y17" s="2"/>
      <c r="Z17" s="2"/>
    </row>
    <row r="18" spans="1:26" x14ac:dyDescent="0.25">
      <c r="A18" s="2"/>
      <c r="B18" s="9"/>
      <c r="C18" s="2"/>
      <c r="D18" s="2"/>
      <c r="E18" s="2"/>
      <c r="F18" s="2"/>
      <c r="G18" s="2"/>
      <c r="H18" s="2"/>
      <c r="I18" s="2"/>
      <c r="J18" s="2"/>
      <c r="K18" s="2"/>
      <c r="L18" s="2"/>
      <c r="M18" s="2"/>
      <c r="N18" s="2"/>
      <c r="O18" s="2"/>
      <c r="P18" s="2"/>
      <c r="Q18" s="2"/>
      <c r="R18" s="2"/>
      <c r="S18" s="2"/>
      <c r="T18" s="2"/>
      <c r="U18" s="2"/>
      <c r="V18" s="2"/>
      <c r="W18" s="2"/>
      <c r="X18" s="2"/>
      <c r="Y18" s="2"/>
      <c r="Z18" s="2"/>
    </row>
    <row r="19" spans="1:26"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c r="Z19" s="2"/>
    </row>
    <row r="20" spans="1:26" ht="15.75" thickBot="1" x14ac:dyDescent="0.3">
      <c r="A20" s="30"/>
      <c r="B20" s="400" t="s">
        <v>55</v>
      </c>
      <c r="C20" s="401"/>
      <c r="D20" s="401"/>
      <c r="E20" s="401"/>
      <c r="F20" s="401"/>
      <c r="G20" s="401"/>
      <c r="H20" s="401"/>
      <c r="I20" s="401"/>
      <c r="J20" s="401"/>
      <c r="K20" s="401"/>
      <c r="L20" s="401"/>
      <c r="M20" s="401"/>
      <c r="N20" s="401"/>
      <c r="O20" s="401"/>
      <c r="P20" s="401"/>
      <c r="Q20" s="402"/>
      <c r="R20" s="30"/>
      <c r="S20" s="30"/>
      <c r="T20" s="30"/>
      <c r="U20" s="30"/>
      <c r="V20" s="30"/>
      <c r="W20" s="30"/>
      <c r="X20" s="30"/>
      <c r="Y20" s="30"/>
      <c r="Z20" s="30"/>
    </row>
    <row r="21" spans="1:26" x14ac:dyDescent="0.25">
      <c r="A21" s="2"/>
      <c r="B21" s="9"/>
      <c r="C21" s="2"/>
      <c r="D21" s="2"/>
      <c r="E21" s="2"/>
      <c r="F21" s="2"/>
      <c r="G21" s="40" t="s">
        <v>56</v>
      </c>
      <c r="H21" s="2"/>
      <c r="I21" s="2"/>
      <c r="J21" s="2"/>
      <c r="K21" s="2"/>
      <c r="L21" s="2"/>
      <c r="M21" s="2"/>
      <c r="N21" s="2"/>
      <c r="O21" s="2"/>
      <c r="P21" s="2"/>
      <c r="Q21" s="2"/>
      <c r="R21" s="2"/>
      <c r="S21" s="2"/>
      <c r="T21" s="2"/>
      <c r="U21" s="2"/>
      <c r="V21" s="2"/>
      <c r="W21" s="2"/>
      <c r="X21" s="2"/>
      <c r="Y21" s="2"/>
      <c r="Z21" s="2"/>
    </row>
    <row r="22" spans="1:26" ht="15" customHeight="1" x14ac:dyDescent="0.25">
      <c r="A22" s="2"/>
      <c r="B22" s="9"/>
      <c r="C22" s="41" t="s">
        <v>57</v>
      </c>
      <c r="D22" s="41" t="s">
        <v>58</v>
      </c>
      <c r="E22" s="41" t="s">
        <v>59</v>
      </c>
      <c r="F22" s="41" t="s">
        <v>60</v>
      </c>
      <c r="G22" s="41" t="s">
        <v>61</v>
      </c>
      <c r="H22" s="41" t="s">
        <v>62</v>
      </c>
      <c r="I22" s="41" t="s">
        <v>63</v>
      </c>
      <c r="J22" s="420" t="s">
        <v>64</v>
      </c>
      <c r="K22" s="421"/>
      <c r="L22" s="421"/>
      <c r="M22" s="421"/>
      <c r="N22" s="421"/>
      <c r="O22" s="421"/>
      <c r="P22" s="421"/>
      <c r="Q22" s="422"/>
      <c r="R22" s="2"/>
      <c r="S22" s="2"/>
      <c r="T22" s="2"/>
      <c r="U22" s="2"/>
      <c r="V22" s="2"/>
      <c r="W22" s="2"/>
      <c r="X22" s="2"/>
      <c r="Y22" s="2"/>
      <c r="Z22" s="2"/>
    </row>
    <row r="23" spans="1:26" x14ac:dyDescent="0.25">
      <c r="A23" s="2"/>
      <c r="B23" s="17">
        <f t="shared" ref="B23:B94" si="0">LEN(C23)</f>
        <v>8</v>
      </c>
      <c r="C23" s="42" t="str">
        <f>PS!C7</f>
        <v>mix_type</v>
      </c>
      <c r="D23" s="43"/>
      <c r="E23" s="80">
        <f>PS!D7</f>
        <v>1</v>
      </c>
      <c r="F23" s="45"/>
      <c r="G23" s="46"/>
      <c r="H23" s="47"/>
      <c r="I23" s="334">
        <v>1</v>
      </c>
      <c r="J23" s="394" t="str">
        <f>PS!Q7</f>
        <v>[number] type of concrete mix: 1 = precast, 2 = ready mix, 3 = CMU</v>
      </c>
      <c r="K23" s="395"/>
      <c r="L23" s="395"/>
      <c r="M23" s="395"/>
      <c r="N23" s="395"/>
      <c r="O23" s="395"/>
      <c r="P23" s="395"/>
      <c r="Q23" s="396"/>
      <c r="R23" s="2"/>
      <c r="S23" s="2"/>
      <c r="T23" s="2"/>
      <c r="U23" s="2"/>
      <c r="V23" s="2"/>
      <c r="W23" s="2"/>
      <c r="X23" s="2"/>
      <c r="Y23" s="2"/>
      <c r="Z23" s="2"/>
    </row>
    <row r="24" spans="1:26" x14ac:dyDescent="0.25">
      <c r="A24" s="2"/>
      <c r="B24" s="17">
        <f t="shared" si="0"/>
        <v>11</v>
      </c>
      <c r="C24" s="42" t="str">
        <f>PS!C16</f>
        <v>unit_weight</v>
      </c>
      <c r="D24" s="43"/>
      <c r="E24" s="80">
        <f>PS!D16</f>
        <v>2290</v>
      </c>
      <c r="F24" s="45"/>
      <c r="G24" s="46"/>
      <c r="H24" s="47"/>
      <c r="I24" s="334">
        <v>1</v>
      </c>
      <c r="J24" s="394" t="str">
        <f>PS!Q16</f>
        <v>[kg/m3] density of concrete mix</v>
      </c>
      <c r="K24" s="395"/>
      <c r="L24" s="395"/>
      <c r="M24" s="395"/>
      <c r="N24" s="395"/>
      <c r="O24" s="395"/>
      <c r="P24" s="395"/>
      <c r="Q24" s="396"/>
      <c r="R24" s="2"/>
      <c r="S24" s="2"/>
      <c r="T24" s="2"/>
      <c r="U24" s="2"/>
      <c r="V24" s="2"/>
      <c r="W24" s="2"/>
      <c r="X24" s="2"/>
      <c r="Y24" s="2"/>
      <c r="Z24" s="2"/>
    </row>
    <row r="25" spans="1:26" x14ac:dyDescent="0.25">
      <c r="A25" s="2"/>
      <c r="B25" s="17">
        <f t="shared" si="0"/>
        <v>0</v>
      </c>
      <c r="C25" s="42"/>
      <c r="D25" s="43"/>
      <c r="E25" s="80"/>
      <c r="F25" s="45"/>
      <c r="G25" s="46"/>
      <c r="H25" s="47"/>
      <c r="I25" s="334"/>
      <c r="J25" s="394"/>
      <c r="K25" s="395"/>
      <c r="L25" s="395"/>
      <c r="M25" s="395"/>
      <c r="N25" s="395"/>
      <c r="O25" s="395"/>
      <c r="P25" s="395"/>
      <c r="Q25" s="396"/>
      <c r="R25" s="2"/>
      <c r="S25" s="2"/>
      <c r="T25" s="2"/>
      <c r="U25" s="2"/>
      <c r="V25" s="2"/>
      <c r="W25" s="2"/>
      <c r="X25" s="2"/>
      <c r="Y25" s="2"/>
      <c r="Z25" s="2"/>
    </row>
    <row r="26" spans="1:26" x14ac:dyDescent="0.25">
      <c r="A26" s="2"/>
      <c r="B26" s="17">
        <f t="shared" si="0"/>
        <v>10</v>
      </c>
      <c r="C26" s="42" t="str">
        <f>PS!C154</f>
        <v>CO2_to_air</v>
      </c>
      <c r="D26" s="43"/>
      <c r="E26" s="80">
        <f>PS!D154</f>
        <v>0.21263726320610571</v>
      </c>
      <c r="F26" s="357"/>
      <c r="G26" s="46"/>
      <c r="H26" s="47"/>
      <c r="I26" s="334" t="s">
        <v>818</v>
      </c>
      <c r="J26" s="394" t="str">
        <f>PS!Q154</f>
        <v>[kg/kg] carbon dioxide emission to air total</v>
      </c>
      <c r="K26" s="395"/>
      <c r="L26" s="395"/>
      <c r="M26" s="395"/>
      <c r="N26" s="395"/>
      <c r="O26" s="395"/>
      <c r="P26" s="395"/>
      <c r="Q26" s="396"/>
      <c r="R26" s="2"/>
      <c r="S26" s="2"/>
      <c r="T26" s="2"/>
      <c r="U26" s="2"/>
      <c r="V26" s="2"/>
      <c r="W26" s="2"/>
      <c r="X26" s="2"/>
      <c r="Y26" s="2"/>
      <c r="Z26" s="2"/>
    </row>
    <row r="27" spans="1:26" x14ac:dyDescent="0.25">
      <c r="A27" s="2"/>
      <c r="B27" s="17">
        <f t="shared" si="0"/>
        <v>10</v>
      </c>
      <c r="C27" s="42" t="str">
        <f>PS!C155</f>
        <v>CFC_to_air</v>
      </c>
      <c r="D27" s="43"/>
      <c r="E27" s="80">
        <f>PS!D155</f>
        <v>0</v>
      </c>
      <c r="F27" s="357"/>
      <c r="G27" s="46"/>
      <c r="H27" s="47"/>
      <c r="I27" s="334">
        <v>2</v>
      </c>
      <c r="J27" s="394" t="str">
        <f>PS!Q155</f>
        <v>[kg/kg] chlorofluorocarbons emissions to air total</v>
      </c>
      <c r="K27" s="395"/>
      <c r="L27" s="395"/>
      <c r="M27" s="395"/>
      <c r="N27" s="395"/>
      <c r="O27" s="395"/>
      <c r="P27" s="395"/>
      <c r="Q27" s="396"/>
      <c r="R27" s="2"/>
      <c r="S27" s="2"/>
      <c r="T27" s="2"/>
      <c r="U27" s="2"/>
      <c r="V27" s="2"/>
      <c r="W27" s="2"/>
      <c r="X27" s="2"/>
      <c r="Y27" s="2"/>
      <c r="Z27" s="2"/>
    </row>
    <row r="28" spans="1:26" x14ac:dyDescent="0.25">
      <c r="A28" s="2"/>
      <c r="B28" s="17">
        <f t="shared" si="0"/>
        <v>2</v>
      </c>
      <c r="C28" s="42" t="str">
        <f>PS!C156</f>
        <v>DB</v>
      </c>
      <c r="D28" s="43"/>
      <c r="E28" s="80">
        <f>PS!D156</f>
        <v>0</v>
      </c>
      <c r="F28" s="357"/>
      <c r="G28" s="46"/>
      <c r="H28" s="47"/>
      <c r="I28" s="334">
        <v>2</v>
      </c>
      <c r="J28" s="394" t="str">
        <f>PS!Q156</f>
        <v>[kg/kg] 1,4-dichlorobenzene emissions total</v>
      </c>
      <c r="K28" s="395"/>
      <c r="L28" s="395"/>
      <c r="M28" s="395"/>
      <c r="N28" s="395"/>
      <c r="O28" s="395"/>
      <c r="P28" s="395"/>
      <c r="Q28" s="396"/>
      <c r="R28" s="2"/>
      <c r="S28" s="2"/>
      <c r="T28" s="2"/>
      <c r="U28" s="2"/>
      <c r="V28" s="2"/>
      <c r="W28" s="2"/>
      <c r="X28" s="2"/>
      <c r="Y28" s="2"/>
      <c r="Z28" s="2"/>
    </row>
    <row r="29" spans="1:26" x14ac:dyDescent="0.25">
      <c r="A29" s="2"/>
      <c r="B29" s="17">
        <f t="shared" si="0"/>
        <v>8</v>
      </c>
      <c r="C29" s="42" t="str">
        <f>PS!C157</f>
        <v>C2H4_air</v>
      </c>
      <c r="D29" s="43"/>
      <c r="E29" s="80">
        <f>PS!D157</f>
        <v>0</v>
      </c>
      <c r="F29" s="357"/>
      <c r="G29" s="46"/>
      <c r="H29" s="47"/>
      <c r="I29" s="334">
        <v>2</v>
      </c>
      <c r="J29" s="394" t="str">
        <f>PS!Q157</f>
        <v>[kg/kg] Ethene (ethylene) emissions to air total</v>
      </c>
      <c r="K29" s="395"/>
      <c r="L29" s="395"/>
      <c r="M29" s="395"/>
      <c r="N29" s="395"/>
      <c r="O29" s="395"/>
      <c r="P29" s="395"/>
      <c r="Q29" s="396"/>
      <c r="R29" s="2"/>
      <c r="S29" s="2"/>
      <c r="T29" s="2"/>
      <c r="U29" s="2"/>
      <c r="V29" s="2"/>
      <c r="W29" s="2"/>
      <c r="X29" s="2"/>
      <c r="Y29" s="2"/>
      <c r="Z29" s="2"/>
    </row>
    <row r="30" spans="1:26" x14ac:dyDescent="0.25">
      <c r="A30" s="2"/>
      <c r="B30" s="17">
        <f t="shared" si="0"/>
        <v>10</v>
      </c>
      <c r="C30" s="42" t="str">
        <f>PS!C158</f>
        <v>SO2_to_wat</v>
      </c>
      <c r="D30" s="43"/>
      <c r="E30" s="80">
        <f>PS!D158</f>
        <v>0</v>
      </c>
      <c r="F30" s="357"/>
      <c r="G30" s="46"/>
      <c r="H30" s="47"/>
      <c r="I30" s="334">
        <v>2</v>
      </c>
      <c r="J30" s="394" t="str">
        <f>PS!Q158</f>
        <v>[kg/kg] sulphur dioxide emissions to water total</v>
      </c>
      <c r="K30" s="395"/>
      <c r="L30" s="395"/>
      <c r="M30" s="395"/>
      <c r="N30" s="395"/>
      <c r="O30" s="395"/>
      <c r="P30" s="395"/>
      <c r="Q30" s="396"/>
      <c r="R30" s="2"/>
      <c r="S30" s="2"/>
      <c r="T30" s="2"/>
      <c r="U30" s="2"/>
      <c r="V30" s="2"/>
      <c r="W30" s="2"/>
      <c r="X30" s="2"/>
      <c r="Y30" s="2"/>
      <c r="Z30" s="2"/>
    </row>
    <row r="31" spans="1:26" x14ac:dyDescent="0.25">
      <c r="A31" s="2"/>
      <c r="B31" s="17">
        <f t="shared" si="0"/>
        <v>10</v>
      </c>
      <c r="C31" s="42" t="str">
        <f>PS!C159</f>
        <v>PO4_to_wat</v>
      </c>
      <c r="D31" s="43"/>
      <c r="E31" s="80">
        <f>PS!D159</f>
        <v>0</v>
      </c>
      <c r="F31" s="357"/>
      <c r="G31" s="46"/>
      <c r="H31" s="47"/>
      <c r="I31" s="334">
        <v>2</v>
      </c>
      <c r="J31" s="394" t="str">
        <f>PS!Q159</f>
        <v>[kg/kg] phosphate emissions to water total</v>
      </c>
      <c r="K31" s="395"/>
      <c r="L31" s="395"/>
      <c r="M31" s="395"/>
      <c r="N31" s="395"/>
      <c r="O31" s="395"/>
      <c r="P31" s="395"/>
      <c r="Q31" s="396"/>
      <c r="R31" s="2"/>
      <c r="S31" s="2"/>
      <c r="T31" s="2"/>
      <c r="U31" s="2"/>
      <c r="V31" s="2"/>
      <c r="W31" s="2"/>
      <c r="X31" s="2"/>
      <c r="Y31" s="2"/>
      <c r="Z31" s="2"/>
    </row>
    <row r="32" spans="1:26" x14ac:dyDescent="0.25">
      <c r="A32" s="2"/>
      <c r="B32" s="17"/>
      <c r="C32" s="42"/>
      <c r="D32" s="43"/>
      <c r="E32" s="3"/>
      <c r="F32" s="357"/>
      <c r="G32" s="46"/>
      <c r="H32" s="47"/>
      <c r="I32" s="334"/>
      <c r="J32" s="235"/>
      <c r="K32" s="236"/>
      <c r="L32" s="236"/>
      <c r="M32" s="236"/>
      <c r="N32" s="236"/>
      <c r="O32" s="236"/>
      <c r="P32" s="236"/>
      <c r="Q32" s="237"/>
      <c r="R32" s="2"/>
      <c r="S32" s="2"/>
      <c r="T32" s="2"/>
      <c r="U32" s="2"/>
      <c r="V32" s="2"/>
      <c r="W32" s="2"/>
      <c r="X32" s="2"/>
      <c r="Y32" s="2"/>
      <c r="Z32" s="2"/>
    </row>
    <row r="33" spans="1:26" x14ac:dyDescent="0.25">
      <c r="A33" s="2"/>
      <c r="B33" s="17">
        <f t="shared" si="0"/>
        <v>9</v>
      </c>
      <c r="C33" s="42" t="str">
        <f>PS!C160</f>
        <v>limestone</v>
      </c>
      <c r="D33" s="43"/>
      <c r="E33" s="80">
        <f>PS!D160</f>
        <v>0.29980520433531621</v>
      </c>
      <c r="F33" s="357"/>
      <c r="G33" s="46"/>
      <c r="H33" s="47"/>
      <c r="I33" s="334">
        <v>1</v>
      </c>
      <c r="J33" s="394" t="str">
        <f>PS!Q160</f>
        <v>[kg/kg] limestone input required for 1 kg of concrete total</v>
      </c>
      <c r="K33" s="395"/>
      <c r="L33" s="395"/>
      <c r="M33" s="395"/>
      <c r="N33" s="395"/>
      <c r="O33" s="395"/>
      <c r="P33" s="395"/>
      <c r="Q33" s="396"/>
      <c r="R33" s="2"/>
      <c r="S33" s="2"/>
      <c r="T33" s="2"/>
      <c r="U33" s="2"/>
      <c r="V33" s="2"/>
      <c r="W33" s="2"/>
      <c r="X33" s="2"/>
      <c r="Y33" s="2"/>
      <c r="Z33" s="2"/>
    </row>
    <row r="34" spans="1:26" x14ac:dyDescent="0.25">
      <c r="A34" s="2"/>
      <c r="B34" s="17">
        <f t="shared" si="0"/>
        <v>5</v>
      </c>
      <c r="C34" s="42" t="str">
        <f>PS!C161</f>
        <v>shale</v>
      </c>
      <c r="D34" s="43"/>
      <c r="E34" s="80">
        <f>PS!D161</f>
        <v>1.105799140960124E-2</v>
      </c>
      <c r="F34" s="357"/>
      <c r="G34" s="46"/>
      <c r="H34" s="47"/>
      <c r="I34" s="334">
        <v>1</v>
      </c>
      <c r="J34" s="394" t="str">
        <f>PS!Q161</f>
        <v>[kg/kg] shale required for 1 kg of concrete total</v>
      </c>
      <c r="K34" s="395"/>
      <c r="L34" s="395"/>
      <c r="M34" s="395"/>
      <c r="N34" s="395"/>
      <c r="O34" s="395"/>
      <c r="P34" s="395"/>
      <c r="Q34" s="396"/>
      <c r="R34" s="2"/>
      <c r="S34" s="2"/>
      <c r="T34" s="2"/>
      <c r="U34" s="2"/>
      <c r="V34" s="2"/>
      <c r="W34" s="2"/>
      <c r="X34" s="2"/>
      <c r="Y34" s="2"/>
      <c r="Z34" s="2"/>
    </row>
    <row r="35" spans="1:26" x14ac:dyDescent="0.25">
      <c r="A35" s="2"/>
      <c r="B35" s="17">
        <f t="shared" si="0"/>
        <v>4</v>
      </c>
      <c r="C35" s="42" t="str">
        <f>PS!C162</f>
        <v>clay</v>
      </c>
      <c r="D35" s="43"/>
      <c r="E35" s="80">
        <f>PS!D162</f>
        <v>1.3507270415111778E-2</v>
      </c>
      <c r="F35" s="357"/>
      <c r="G35" s="46"/>
      <c r="H35" s="47"/>
      <c r="I35" s="334">
        <v>1</v>
      </c>
      <c r="J35" s="394" t="str">
        <f>PS!Q162</f>
        <v>[kg/kg] clay input required for 1 kg of concrete total</v>
      </c>
      <c r="K35" s="395"/>
      <c r="L35" s="395"/>
      <c r="M35" s="395"/>
      <c r="N35" s="395"/>
      <c r="O35" s="395"/>
      <c r="P35" s="395"/>
      <c r="Q35" s="396"/>
      <c r="R35" s="2"/>
      <c r="S35" s="2"/>
      <c r="T35" s="2"/>
      <c r="U35" s="2"/>
      <c r="V35" s="2"/>
      <c r="W35" s="2"/>
      <c r="X35" s="2"/>
      <c r="Y35" s="2"/>
      <c r="Z35" s="2"/>
    </row>
    <row r="36" spans="1:26" x14ac:dyDescent="0.25">
      <c r="A36" s="2"/>
      <c r="B36" s="17">
        <f t="shared" si="0"/>
        <v>10</v>
      </c>
      <c r="C36" s="42" t="str">
        <f>PS!C163</f>
        <v>fndry_sand</v>
      </c>
      <c r="D36" s="43"/>
      <c r="E36" s="80">
        <f>PS!D163</f>
        <v>8.7549943155385468E-4</v>
      </c>
      <c r="F36" s="357"/>
      <c r="G36" s="46"/>
      <c r="H36" s="47"/>
      <c r="I36" s="334">
        <v>1</v>
      </c>
      <c r="J36" s="394" t="str">
        <f>PS!Q163</f>
        <v>[kg/kg] foundry sand input required for 1 kg of concrete total</v>
      </c>
      <c r="K36" s="395"/>
      <c r="L36" s="395"/>
      <c r="M36" s="395"/>
      <c r="N36" s="395"/>
      <c r="O36" s="395"/>
      <c r="P36" s="395"/>
      <c r="Q36" s="396"/>
      <c r="R36" s="2"/>
      <c r="S36" s="2"/>
      <c r="T36" s="2"/>
      <c r="U36" s="2"/>
      <c r="V36" s="2"/>
      <c r="W36" s="2"/>
      <c r="X36" s="2"/>
      <c r="Y36" s="2"/>
      <c r="Z36" s="2"/>
    </row>
    <row r="37" spans="1:26" x14ac:dyDescent="0.25">
      <c r="A37" s="2"/>
      <c r="B37" s="17">
        <f t="shared" si="0"/>
        <v>4</v>
      </c>
      <c r="C37" s="42" t="str">
        <f>PS!C164</f>
        <v>sand</v>
      </c>
      <c r="D37" s="43"/>
      <c r="E37" s="80">
        <f>PS!D164</f>
        <v>8.8226937994057234E-3</v>
      </c>
      <c r="F37" s="357"/>
      <c r="G37" s="46"/>
      <c r="H37" s="47"/>
      <c r="I37" s="334">
        <v>1</v>
      </c>
      <c r="J37" s="394" t="str">
        <f>PS!Q164</f>
        <v>[kg/kg] sand input required for 1 kg of concrete total</v>
      </c>
      <c r="K37" s="395"/>
      <c r="L37" s="395"/>
      <c r="M37" s="395"/>
      <c r="N37" s="395"/>
      <c r="O37" s="395"/>
      <c r="P37" s="395"/>
      <c r="Q37" s="396"/>
      <c r="R37" s="2"/>
      <c r="S37" s="2"/>
      <c r="T37" s="2"/>
      <c r="U37" s="2"/>
      <c r="V37" s="2"/>
      <c r="W37" s="2"/>
      <c r="X37" s="2"/>
      <c r="Y37" s="2"/>
      <c r="Z37" s="2"/>
    </row>
    <row r="38" spans="1:26" x14ac:dyDescent="0.25">
      <c r="A38" s="2"/>
      <c r="B38" s="17">
        <f t="shared" si="0"/>
        <v>7</v>
      </c>
      <c r="C38" s="42" t="str">
        <f>PS!C165</f>
        <v>iron_in</v>
      </c>
      <c r="D38" s="43"/>
      <c r="E38" s="80">
        <f>PS!D165</f>
        <v>3.0144836628131656E-3</v>
      </c>
      <c r="F38" s="357"/>
      <c r="G38" s="46"/>
      <c r="H38" s="47"/>
      <c r="I38" s="334">
        <v>1</v>
      </c>
      <c r="J38" s="394" t="str">
        <f>PS!Q165</f>
        <v>[kg/kg] iron input required for 1 kg of concrete total</v>
      </c>
      <c r="K38" s="395"/>
      <c r="L38" s="395"/>
      <c r="M38" s="395"/>
      <c r="N38" s="395"/>
      <c r="O38" s="395"/>
      <c r="P38" s="395"/>
      <c r="Q38" s="396"/>
      <c r="R38" s="2"/>
      <c r="S38" s="2"/>
      <c r="T38" s="2"/>
      <c r="U38" s="2"/>
      <c r="V38" s="2"/>
      <c r="W38" s="2"/>
      <c r="X38" s="2"/>
      <c r="Y38" s="2"/>
      <c r="Z38" s="2"/>
    </row>
    <row r="39" spans="1:26" x14ac:dyDescent="0.25">
      <c r="A39" s="2"/>
      <c r="B39" s="17">
        <f t="shared" si="0"/>
        <v>2</v>
      </c>
      <c r="C39" s="42" t="str">
        <f>PS!C166</f>
        <v>fa</v>
      </c>
      <c r="D39" s="43"/>
      <c r="E39" s="80">
        <f>PS!D166</f>
        <v>5.0894646903060668E-3</v>
      </c>
      <c r="F39" s="357"/>
      <c r="G39" s="46"/>
      <c r="H39" s="47"/>
      <c r="I39" s="334">
        <v>1</v>
      </c>
      <c r="J39" s="394" t="str">
        <f>PS!Q166</f>
        <v>[kg/kg] fly ash input required for 1 kg of concrete total</v>
      </c>
      <c r="K39" s="395"/>
      <c r="L39" s="395"/>
      <c r="M39" s="395"/>
      <c r="N39" s="395"/>
      <c r="O39" s="395"/>
      <c r="P39" s="395"/>
      <c r="Q39" s="396"/>
      <c r="R39" s="2"/>
      <c r="S39" s="2"/>
      <c r="T39" s="2"/>
      <c r="U39" s="2"/>
      <c r="V39" s="2"/>
      <c r="W39" s="2"/>
      <c r="X39" s="2"/>
      <c r="Y39" s="2"/>
      <c r="Z39" s="2"/>
    </row>
    <row r="40" spans="1:26" x14ac:dyDescent="0.25">
      <c r="A40" s="2"/>
      <c r="B40" s="17">
        <f t="shared" si="0"/>
        <v>4</v>
      </c>
      <c r="C40" s="42" t="str">
        <f>PS!C167</f>
        <v>slag</v>
      </c>
      <c r="D40" s="43"/>
      <c r="E40" s="80">
        <f>PS!D167</f>
        <v>4.5326481049770889E-3</v>
      </c>
      <c r="F40" s="357"/>
      <c r="G40" s="46"/>
      <c r="H40" s="47"/>
      <c r="I40" s="334">
        <v>1</v>
      </c>
      <c r="J40" s="394" t="str">
        <f>PS!Q167</f>
        <v>[kg/kg] slag input required for 1 kg of concrete total</v>
      </c>
      <c r="K40" s="395"/>
      <c r="L40" s="395"/>
      <c r="M40" s="395"/>
      <c r="N40" s="395"/>
      <c r="O40" s="395"/>
      <c r="P40" s="395"/>
      <c r="Q40" s="396"/>
      <c r="R40" s="2"/>
      <c r="S40" s="2"/>
      <c r="T40" s="2"/>
      <c r="U40" s="2"/>
      <c r="V40" s="2"/>
      <c r="W40" s="2"/>
      <c r="X40" s="2"/>
      <c r="Y40" s="2"/>
      <c r="Z40" s="2"/>
    </row>
    <row r="41" spans="1:26" x14ac:dyDescent="0.25">
      <c r="A41" s="2"/>
      <c r="B41" s="17">
        <f t="shared" si="0"/>
        <v>5</v>
      </c>
      <c r="C41" s="42" t="str">
        <f>PS!C168</f>
        <v>slate</v>
      </c>
      <c r="D41" s="43"/>
      <c r="E41" s="80">
        <f>PS!D168</f>
        <v>2.2480005503104544E-4</v>
      </c>
      <c r="F41" s="357"/>
      <c r="G41" s="46"/>
      <c r="H41" s="47"/>
      <c r="I41" s="334">
        <v>1</v>
      </c>
      <c r="J41" s="394" t="str">
        <f>PS!Q168</f>
        <v>[kg/kg] slate input required for 1 kg of concrete total</v>
      </c>
      <c r="K41" s="395"/>
      <c r="L41" s="395"/>
      <c r="M41" s="395"/>
      <c r="N41" s="395"/>
      <c r="O41" s="395"/>
      <c r="P41" s="395"/>
      <c r="Q41" s="396"/>
      <c r="R41" s="2"/>
      <c r="S41" s="2"/>
      <c r="T41" s="2"/>
      <c r="U41" s="2"/>
      <c r="V41" s="2"/>
      <c r="W41" s="2"/>
      <c r="X41" s="2"/>
      <c r="Y41" s="2"/>
      <c r="Z41" s="2"/>
    </row>
    <row r="42" spans="1:26" x14ac:dyDescent="0.25">
      <c r="A42" s="2"/>
      <c r="B42" s="17">
        <f t="shared" si="0"/>
        <v>6</v>
      </c>
      <c r="C42" s="42" t="str">
        <f>PS!C169</f>
        <v>gypsum</v>
      </c>
      <c r="D42" s="43"/>
      <c r="E42" s="80">
        <f>PS!D169</f>
        <v>1.066511906006096E-2</v>
      </c>
      <c r="F42" s="357"/>
      <c r="G42" s="46"/>
      <c r="H42" s="47"/>
      <c r="I42" s="334">
        <v>1</v>
      </c>
      <c r="J42" s="394" t="str">
        <f>PS!Q169</f>
        <v>[kg/kg] gypsum input required for 1 kg of concrete total</v>
      </c>
      <c r="K42" s="395"/>
      <c r="L42" s="395"/>
      <c r="M42" s="395"/>
      <c r="N42" s="395"/>
      <c r="O42" s="395"/>
      <c r="P42" s="395"/>
      <c r="Q42" s="396"/>
      <c r="R42" s="2"/>
      <c r="S42" s="2"/>
      <c r="T42" s="2"/>
      <c r="U42" s="2"/>
      <c r="V42" s="2"/>
      <c r="W42" s="2"/>
      <c r="X42" s="2"/>
      <c r="Y42" s="2"/>
      <c r="Z42" s="2"/>
    </row>
    <row r="43" spans="1:26" x14ac:dyDescent="0.25">
      <c r="A43" s="2"/>
      <c r="B43" s="17">
        <f t="shared" si="0"/>
        <v>8</v>
      </c>
      <c r="C43" s="42" t="str">
        <f>PS!C170</f>
        <v>water_in</v>
      </c>
      <c r="D43" s="43"/>
      <c r="E43" s="80">
        <f>PS!D170</f>
        <v>0.30931648670294853</v>
      </c>
      <c r="F43" s="357"/>
      <c r="G43" s="46"/>
      <c r="H43" s="47"/>
      <c r="I43" s="334">
        <v>1</v>
      </c>
      <c r="J43" s="394" t="str">
        <f>PS!Q170</f>
        <v>[kg/kg] water input required for 1 kg of concrete total</v>
      </c>
      <c r="K43" s="395"/>
      <c r="L43" s="395"/>
      <c r="M43" s="395"/>
      <c r="N43" s="395"/>
      <c r="O43" s="395"/>
      <c r="P43" s="395"/>
      <c r="Q43" s="396"/>
      <c r="R43" s="2"/>
      <c r="S43" s="2"/>
      <c r="T43" s="2"/>
      <c r="U43" s="2"/>
      <c r="V43" s="2"/>
      <c r="W43" s="2"/>
      <c r="X43" s="2"/>
      <c r="Y43" s="2"/>
      <c r="Z43" s="2"/>
    </row>
    <row r="44" spans="1:26" x14ac:dyDescent="0.25">
      <c r="A44" s="2"/>
      <c r="B44" s="17">
        <f t="shared" si="0"/>
        <v>4</v>
      </c>
      <c r="C44" s="42" t="str">
        <f>PS!C171</f>
        <v>coal</v>
      </c>
      <c r="D44" s="43"/>
      <c r="E44" s="80">
        <f>PS!D171</f>
        <v>2.2167871049375412E-2</v>
      </c>
      <c r="F44" s="357"/>
      <c r="G44" s="46"/>
      <c r="H44" s="47"/>
      <c r="I44" s="334">
        <v>1</v>
      </c>
      <c r="J44" s="394" t="str">
        <f>PS!Q171</f>
        <v>[kg/kg] coal required for 1 kg of concrete total</v>
      </c>
      <c r="K44" s="395"/>
      <c r="L44" s="395"/>
      <c r="M44" s="395"/>
      <c r="N44" s="395"/>
      <c r="O44" s="395"/>
      <c r="P44" s="395"/>
      <c r="Q44" s="396"/>
      <c r="R44" s="2"/>
      <c r="S44" s="2"/>
      <c r="T44" s="2"/>
      <c r="U44" s="2"/>
      <c r="V44" s="2"/>
      <c r="W44" s="2"/>
      <c r="X44" s="2"/>
      <c r="Y44" s="2"/>
      <c r="Z44" s="2"/>
    </row>
    <row r="45" spans="1:26" x14ac:dyDescent="0.25">
      <c r="A45" s="2"/>
      <c r="B45" s="17">
        <f t="shared" si="0"/>
        <v>8</v>
      </c>
      <c r="C45" s="42" t="str">
        <f>PS!C172</f>
        <v>gasoline</v>
      </c>
      <c r="D45" s="43"/>
      <c r="E45" s="80">
        <f>PS!D172</f>
        <v>4.3907549921337575E-4</v>
      </c>
      <c r="F45" s="357"/>
      <c r="G45" s="46"/>
      <c r="H45" s="47"/>
      <c r="I45" s="334">
        <v>1</v>
      </c>
      <c r="J45" s="394" t="str">
        <f>PS!Q172</f>
        <v>[kg/kg] mass of gasoline required for production of 1 kg concrete total</v>
      </c>
      <c r="K45" s="395"/>
      <c r="L45" s="395"/>
      <c r="M45" s="395"/>
      <c r="N45" s="395"/>
      <c r="O45" s="395"/>
      <c r="P45" s="395"/>
      <c r="Q45" s="396"/>
      <c r="R45" s="2"/>
      <c r="S45" s="2"/>
      <c r="T45" s="2"/>
      <c r="U45" s="2"/>
      <c r="V45" s="2"/>
      <c r="W45" s="2"/>
      <c r="X45" s="2"/>
      <c r="Y45" s="2"/>
      <c r="Z45" s="2"/>
    </row>
    <row r="46" spans="1:26" x14ac:dyDescent="0.25">
      <c r="A46" s="2"/>
      <c r="B46" s="17">
        <f t="shared" si="0"/>
        <v>3</v>
      </c>
      <c r="C46" s="42" t="str">
        <f>PS!C173</f>
        <v>LPG</v>
      </c>
      <c r="D46" s="43"/>
      <c r="E46" s="80">
        <f>PS!D173</f>
        <v>1.6813167332400596E-6</v>
      </c>
      <c r="F46" s="357"/>
      <c r="G46" s="46"/>
      <c r="H46" s="47"/>
      <c r="I46" s="334">
        <v>1</v>
      </c>
      <c r="J46" s="394" t="str">
        <f>PS!Q173</f>
        <v>[kg/kg] mass of liquefied petroleum gas required for production of 1 kg  concrete total</v>
      </c>
      <c r="K46" s="395"/>
      <c r="L46" s="395"/>
      <c r="M46" s="395"/>
      <c r="N46" s="395"/>
      <c r="O46" s="395"/>
      <c r="P46" s="395"/>
      <c r="Q46" s="396"/>
      <c r="R46" s="2"/>
      <c r="S46" s="2"/>
      <c r="T46" s="2"/>
      <c r="U46" s="2"/>
      <c r="V46" s="2"/>
      <c r="W46" s="2"/>
      <c r="X46" s="2"/>
      <c r="Y46" s="2"/>
      <c r="Z46" s="2"/>
    </row>
    <row r="47" spans="1:26" x14ac:dyDescent="0.25">
      <c r="A47" s="2"/>
      <c r="B47" s="17">
        <f t="shared" si="0"/>
        <v>10</v>
      </c>
      <c r="C47" s="42" t="str">
        <f>PS!C174</f>
        <v>distillate</v>
      </c>
      <c r="D47" s="43"/>
      <c r="E47" s="80">
        <f>PS!D174</f>
        <v>3.2911754527926436E-3</v>
      </c>
      <c r="F47" s="357"/>
      <c r="G47" s="46"/>
      <c r="H47" s="47"/>
      <c r="I47" s="334">
        <v>1</v>
      </c>
      <c r="J47" s="394" t="str">
        <f>PS!Q174</f>
        <v>[kg/kg] mass of middle distillates required for production of 1 kg  concrete total</v>
      </c>
      <c r="K47" s="395"/>
      <c r="L47" s="395"/>
      <c r="M47" s="395"/>
      <c r="N47" s="395"/>
      <c r="O47" s="395"/>
      <c r="P47" s="395"/>
      <c r="Q47" s="396"/>
      <c r="R47" s="2"/>
      <c r="S47" s="2"/>
      <c r="T47" s="2"/>
      <c r="U47" s="2"/>
      <c r="V47" s="2"/>
      <c r="W47" s="2"/>
      <c r="X47" s="2"/>
      <c r="Y47" s="2"/>
      <c r="Z47" s="2"/>
    </row>
    <row r="48" spans="1:26" x14ac:dyDescent="0.25">
      <c r="A48" s="2"/>
      <c r="B48" s="17">
        <f t="shared" si="0"/>
        <v>7</v>
      </c>
      <c r="C48" s="42" t="str">
        <f>PS!C175</f>
        <v>nat_gas</v>
      </c>
      <c r="D48" s="43"/>
      <c r="E48" s="80">
        <f>PS!D175</f>
        <v>3.855495876605314E-3</v>
      </c>
      <c r="F48" s="357"/>
      <c r="G48" s="46"/>
      <c r="H48" s="47"/>
      <c r="I48" s="334">
        <v>1</v>
      </c>
      <c r="J48" s="394" t="str">
        <f>PS!Q175</f>
        <v>[kg/kg] mass of  natural gas required for production of 1 kg  concrete total</v>
      </c>
      <c r="K48" s="395"/>
      <c r="L48" s="395"/>
      <c r="M48" s="395"/>
      <c r="N48" s="395"/>
      <c r="O48" s="395"/>
      <c r="P48" s="395"/>
      <c r="Q48" s="396"/>
      <c r="R48" s="2"/>
      <c r="S48" s="2"/>
      <c r="T48" s="2"/>
      <c r="U48" s="2"/>
      <c r="V48" s="2"/>
      <c r="W48" s="2"/>
      <c r="X48" s="2"/>
      <c r="Y48" s="2"/>
      <c r="Z48" s="2"/>
    </row>
    <row r="49" spans="1:26" x14ac:dyDescent="0.25">
      <c r="A49" s="2"/>
      <c r="B49" s="17">
        <f t="shared" si="0"/>
        <v>8</v>
      </c>
      <c r="C49" s="42" t="str">
        <f>PS!C176</f>
        <v>pet_coke</v>
      </c>
      <c r="D49" s="43"/>
      <c r="E49" s="80">
        <f>PS!D176</f>
        <v>4.940670071172883E-3</v>
      </c>
      <c r="F49" s="357"/>
      <c r="G49" s="46"/>
      <c r="H49" s="47"/>
      <c r="I49" s="334">
        <v>1</v>
      </c>
      <c r="J49" s="394" t="str">
        <f>PS!Q176</f>
        <v>[kg/kg] petroleum coke required for 1 kg of concrete total</v>
      </c>
      <c r="K49" s="395"/>
      <c r="L49" s="395"/>
      <c r="M49" s="395"/>
      <c r="N49" s="395"/>
      <c r="O49" s="395"/>
      <c r="P49" s="395"/>
      <c r="Q49" s="396"/>
      <c r="R49" s="2"/>
      <c r="S49" s="2"/>
      <c r="T49" s="2"/>
      <c r="U49" s="2"/>
      <c r="V49" s="2"/>
      <c r="W49" s="2"/>
      <c r="X49" s="2"/>
      <c r="Y49" s="2"/>
      <c r="Z49" s="2"/>
    </row>
    <row r="50" spans="1:26" x14ac:dyDescent="0.25">
      <c r="A50" s="2"/>
      <c r="B50" s="17">
        <f t="shared" si="0"/>
        <v>7</v>
      </c>
      <c r="C50" s="42" t="str">
        <f>PS!C177</f>
        <v>res_oil</v>
      </c>
      <c r="D50" s="43"/>
      <c r="E50" s="80">
        <f>PS!D177</f>
        <v>8.0465275811290009E-5</v>
      </c>
      <c r="F50" s="357"/>
      <c r="G50" s="46"/>
      <c r="H50" s="47"/>
      <c r="I50" s="334">
        <v>1</v>
      </c>
      <c r="J50" s="394" t="str">
        <f>PS!Q177</f>
        <v>[kg/kg] residual oil required for 1 kg of concrete total</v>
      </c>
      <c r="K50" s="395"/>
      <c r="L50" s="395"/>
      <c r="M50" s="395"/>
      <c r="N50" s="395"/>
      <c r="O50" s="395"/>
      <c r="P50" s="395"/>
      <c r="Q50" s="396"/>
      <c r="R50" s="2"/>
      <c r="S50" s="2"/>
      <c r="T50" s="2"/>
      <c r="U50" s="2"/>
      <c r="V50" s="2"/>
      <c r="W50" s="2"/>
      <c r="X50" s="2"/>
      <c r="Y50" s="2"/>
      <c r="Z50" s="2"/>
    </row>
    <row r="51" spans="1:26" x14ac:dyDescent="0.25">
      <c r="A51" s="2"/>
      <c r="B51" s="17">
        <f t="shared" si="0"/>
        <v>8</v>
      </c>
      <c r="C51" s="42" t="str">
        <f>PS!C178</f>
        <v>waste_en</v>
      </c>
      <c r="D51" s="43"/>
      <c r="E51" s="80">
        <f>PS!D178</f>
        <v>8.8913912736232414E-5</v>
      </c>
      <c r="F51" s="357"/>
      <c r="G51" s="46"/>
      <c r="H51" s="47"/>
      <c r="I51" s="334">
        <v>1</v>
      </c>
      <c r="J51" s="394" t="str">
        <f>PS!Q178</f>
        <v>[GJ/kg] energy from waste required for 1 kg of concrete total</v>
      </c>
      <c r="K51" s="395"/>
      <c r="L51" s="395"/>
      <c r="M51" s="395"/>
      <c r="N51" s="395"/>
      <c r="O51" s="395"/>
      <c r="P51" s="395"/>
      <c r="Q51" s="396"/>
      <c r="R51" s="2"/>
      <c r="S51" s="2"/>
      <c r="T51" s="2"/>
      <c r="U51" s="2"/>
      <c r="V51" s="2"/>
      <c r="W51" s="2"/>
      <c r="X51" s="2"/>
      <c r="Y51" s="2"/>
      <c r="Z51" s="2"/>
    </row>
    <row r="52" spans="1:26" x14ac:dyDescent="0.25">
      <c r="A52" s="2"/>
      <c r="B52" s="17">
        <f t="shared" si="0"/>
        <v>8</v>
      </c>
      <c r="C52" s="42" t="str">
        <f>PS!C179</f>
        <v>electric</v>
      </c>
      <c r="D52" s="43"/>
      <c r="E52" s="80">
        <f>PS!D179</f>
        <v>4.9205648973279906E-2</v>
      </c>
      <c r="F52" s="357"/>
      <c r="G52" s="46"/>
      <c r="H52" s="47"/>
      <c r="I52" s="334">
        <v>1</v>
      </c>
      <c r="J52" s="394" t="str">
        <f>PS!Q179</f>
        <v>[kWh/kg] electricity required for production of 1 kg  concrete total</v>
      </c>
      <c r="K52" s="395"/>
      <c r="L52" s="395"/>
      <c r="M52" s="395"/>
      <c r="N52" s="395"/>
      <c r="O52" s="395"/>
      <c r="P52" s="395"/>
      <c r="Q52" s="396"/>
      <c r="R52" s="2"/>
      <c r="S52" s="2"/>
      <c r="T52" s="2"/>
      <c r="U52" s="2"/>
      <c r="V52" s="2"/>
      <c r="W52" s="2"/>
      <c r="X52" s="2"/>
      <c r="Y52" s="2"/>
      <c r="Z52" s="2"/>
    </row>
    <row r="53" spans="1:26" x14ac:dyDescent="0.25">
      <c r="A53" s="2"/>
      <c r="B53" s="17"/>
      <c r="C53" s="42"/>
      <c r="D53" s="43"/>
      <c r="E53" s="80"/>
      <c r="F53" s="357"/>
      <c r="G53" s="46"/>
      <c r="H53" s="47"/>
      <c r="I53" s="334"/>
      <c r="J53" s="394"/>
      <c r="K53" s="395"/>
      <c r="L53" s="395"/>
      <c r="M53" s="395"/>
      <c r="N53" s="395"/>
      <c r="O53" s="395"/>
      <c r="P53" s="395"/>
      <c r="Q53" s="396"/>
      <c r="R53" s="2"/>
      <c r="S53" s="2"/>
      <c r="T53" s="2"/>
      <c r="U53" s="2"/>
      <c r="V53" s="2"/>
      <c r="W53" s="2"/>
      <c r="X53" s="2"/>
      <c r="Y53" s="2"/>
      <c r="Z53" s="2"/>
    </row>
    <row r="54" spans="1:26" x14ac:dyDescent="0.25">
      <c r="A54" s="2"/>
      <c r="B54" s="17">
        <f t="shared" si="0"/>
        <v>9</v>
      </c>
      <c r="C54" s="42" t="str">
        <f>PS!C180</f>
        <v>Al_to_wat</v>
      </c>
      <c r="D54" s="43"/>
      <c r="E54" s="80">
        <f>PS!D180</f>
        <v>1.8924430229125078E-7</v>
      </c>
      <c r="F54" s="357"/>
      <c r="G54" s="46"/>
      <c r="H54" s="47"/>
      <c r="I54" s="334">
        <v>1</v>
      </c>
      <c r="J54" s="394" t="str">
        <f>PS!Q180</f>
        <v>[kg/kg] aluminum emissions to water total</v>
      </c>
      <c r="K54" s="395"/>
      <c r="L54" s="395"/>
      <c r="M54" s="395"/>
      <c r="N54" s="395"/>
      <c r="O54" s="395"/>
      <c r="P54" s="395"/>
      <c r="Q54" s="396"/>
      <c r="R54" s="2"/>
      <c r="S54" s="2"/>
      <c r="T54" s="2"/>
      <c r="U54" s="2"/>
      <c r="V54" s="2"/>
      <c r="W54" s="2"/>
      <c r="X54" s="2"/>
      <c r="Y54" s="2"/>
      <c r="Z54" s="2"/>
    </row>
    <row r="55" spans="1:26" x14ac:dyDescent="0.25">
      <c r="A55" s="2"/>
      <c r="B55" s="17">
        <f t="shared" si="0"/>
        <v>10</v>
      </c>
      <c r="C55" s="42" t="str">
        <f>PS!C181</f>
        <v>Amm_to_wat</v>
      </c>
      <c r="D55" s="43"/>
      <c r="E55" s="80">
        <f>PS!D181</f>
        <v>2.0849831681005046E-7</v>
      </c>
      <c r="F55" s="357"/>
      <c r="G55" s="46"/>
      <c r="H55" s="47"/>
      <c r="I55" s="334">
        <v>1</v>
      </c>
      <c r="J55" s="394" t="str">
        <f>PS!Q181</f>
        <v>[kg/kg] ammonia/ammonium emissions to water total</v>
      </c>
      <c r="K55" s="395"/>
      <c r="L55" s="395"/>
      <c r="M55" s="395"/>
      <c r="N55" s="395"/>
      <c r="O55" s="395"/>
      <c r="P55" s="395"/>
      <c r="Q55" s="396"/>
      <c r="R55" s="2"/>
      <c r="S55" s="2"/>
      <c r="T55" s="2"/>
      <c r="U55" s="2"/>
      <c r="V55" s="2"/>
      <c r="W55" s="2"/>
      <c r="X55" s="2"/>
      <c r="Y55" s="2"/>
      <c r="Z55" s="2"/>
    </row>
    <row r="56" spans="1:26" x14ac:dyDescent="0.25">
      <c r="A56" s="2"/>
      <c r="B56" s="17">
        <f t="shared" si="0"/>
        <v>9</v>
      </c>
      <c r="C56" s="42" t="str">
        <f>PS!C182</f>
        <v>chlor_wat</v>
      </c>
      <c r="D56" s="43"/>
      <c r="E56" s="80">
        <f>PS!D182</f>
        <v>1.5990314034892649E-4</v>
      </c>
      <c r="F56" s="357"/>
      <c r="G56" s="46"/>
      <c r="H56" s="47"/>
      <c r="I56" s="334">
        <v>1</v>
      </c>
      <c r="J56" s="394" t="str">
        <f>PS!Q182</f>
        <v>[kg/kg] chloride emission to water total</v>
      </c>
      <c r="K56" s="395"/>
      <c r="L56" s="395"/>
      <c r="M56" s="395"/>
      <c r="N56" s="395"/>
      <c r="O56" s="395"/>
      <c r="P56" s="395"/>
      <c r="Q56" s="396"/>
      <c r="R56" s="2"/>
      <c r="S56" s="2"/>
      <c r="T56" s="2"/>
      <c r="U56" s="2"/>
      <c r="V56" s="2"/>
      <c r="W56" s="2"/>
      <c r="X56" s="2"/>
      <c r="Y56" s="2"/>
      <c r="Z56" s="2"/>
    </row>
    <row r="57" spans="1:26" x14ac:dyDescent="0.25">
      <c r="A57" s="2"/>
      <c r="B57" s="17">
        <f t="shared" si="0"/>
        <v>10</v>
      </c>
      <c r="C57" s="42" t="str">
        <f>PS!C183</f>
        <v>DOC_to_wat</v>
      </c>
      <c r="D57" s="43"/>
      <c r="E57" s="80">
        <f>PS!D183</f>
        <v>3.0299216715071059E-6</v>
      </c>
      <c r="F57" s="357"/>
      <c r="G57" s="46"/>
      <c r="H57" s="47"/>
      <c r="I57" s="334">
        <v>1</v>
      </c>
      <c r="J57" s="394" t="str">
        <f>PS!Q183</f>
        <v>[kg/kg] disolved organic carbon emissions to water total</v>
      </c>
      <c r="K57" s="395"/>
      <c r="L57" s="395"/>
      <c r="M57" s="395"/>
      <c r="N57" s="395"/>
      <c r="O57" s="395"/>
      <c r="P57" s="395"/>
      <c r="Q57" s="396"/>
      <c r="R57" s="2"/>
      <c r="S57" s="2"/>
      <c r="T57" s="2"/>
      <c r="U57" s="2"/>
      <c r="V57" s="2"/>
      <c r="W57" s="2"/>
      <c r="X57" s="2"/>
      <c r="Y57" s="2"/>
      <c r="Z57" s="2"/>
    </row>
    <row r="58" spans="1:26" x14ac:dyDescent="0.25">
      <c r="A58" s="2"/>
      <c r="B58" s="17">
        <f t="shared" si="0"/>
        <v>10</v>
      </c>
      <c r="C58" s="42" t="str">
        <f>PS!C184</f>
        <v>Nit_to_wat</v>
      </c>
      <c r="D58" s="43"/>
      <c r="E58" s="80">
        <f>PS!D184</f>
        <v>1.2958520547731506E-6</v>
      </c>
      <c r="F58" s="357"/>
      <c r="G58" s="46"/>
      <c r="H58" s="47"/>
      <c r="I58" s="334">
        <v>1</v>
      </c>
      <c r="J58" s="394" t="str">
        <f>PS!Q184</f>
        <v>[kg/kg] nitrate emissions to water total</v>
      </c>
      <c r="K58" s="395"/>
      <c r="L58" s="395"/>
      <c r="M58" s="395"/>
      <c r="N58" s="395"/>
      <c r="O58" s="395"/>
      <c r="P58" s="395"/>
      <c r="Q58" s="396"/>
      <c r="R58" s="2"/>
      <c r="S58" s="2"/>
      <c r="T58" s="2"/>
      <c r="U58" s="2"/>
      <c r="V58" s="2"/>
      <c r="W58" s="2"/>
      <c r="X58" s="2"/>
      <c r="Y58" s="2"/>
      <c r="Z58" s="2"/>
    </row>
    <row r="59" spans="1:26" x14ac:dyDescent="0.25">
      <c r="A59" s="2"/>
      <c r="B59" s="17">
        <f t="shared" si="0"/>
        <v>10</v>
      </c>
      <c r="C59" s="42" t="str">
        <f>PS!C185</f>
        <v>oil_to_wat</v>
      </c>
      <c r="D59" s="43"/>
      <c r="E59" s="80">
        <f>PS!D185</f>
        <v>1.6540798526717015E-6</v>
      </c>
      <c r="F59" s="357"/>
      <c r="G59" s="46"/>
      <c r="H59" s="47"/>
      <c r="I59" s="334">
        <v>1</v>
      </c>
      <c r="J59" s="394" t="str">
        <f>PS!Q185</f>
        <v>[kg/kg] oil and grease emission to water total</v>
      </c>
      <c r="K59" s="395"/>
      <c r="L59" s="395"/>
      <c r="M59" s="395"/>
      <c r="N59" s="395"/>
      <c r="O59" s="395"/>
      <c r="P59" s="395"/>
      <c r="Q59" s="396"/>
      <c r="R59" s="2"/>
      <c r="S59" s="2"/>
      <c r="T59" s="2"/>
      <c r="U59" s="2"/>
      <c r="V59" s="2"/>
      <c r="W59" s="2"/>
      <c r="X59" s="2"/>
      <c r="Y59" s="2"/>
      <c r="Z59" s="2"/>
    </row>
    <row r="60" spans="1:26" x14ac:dyDescent="0.25">
      <c r="A60" s="2"/>
      <c r="B60" s="17">
        <f t="shared" si="0"/>
        <v>8</v>
      </c>
      <c r="C60" s="42" t="str">
        <f>PS!C186</f>
        <v>phen_wat</v>
      </c>
      <c r="D60" s="43"/>
      <c r="E60" s="80">
        <f>PS!D186</f>
        <v>4.8481031784452238E-9</v>
      </c>
      <c r="F60" s="357"/>
      <c r="G60" s="46"/>
      <c r="H60" s="47"/>
      <c r="I60" s="334">
        <v>1</v>
      </c>
      <c r="J60" s="394" t="str">
        <f>PS!Q186</f>
        <v>[kg/kg] phenolics emissions to water total</v>
      </c>
      <c r="K60" s="395"/>
      <c r="L60" s="395"/>
      <c r="M60" s="395"/>
      <c r="N60" s="395"/>
      <c r="O60" s="395"/>
      <c r="P60" s="395"/>
      <c r="Q60" s="396"/>
      <c r="R60" s="2"/>
      <c r="S60" s="2"/>
      <c r="T60" s="2"/>
      <c r="U60" s="2"/>
      <c r="V60" s="2"/>
      <c r="W60" s="2"/>
      <c r="X60" s="2"/>
      <c r="Y60" s="2"/>
      <c r="Z60" s="2"/>
    </row>
    <row r="61" spans="1:26" x14ac:dyDescent="0.25">
      <c r="A61" s="2"/>
      <c r="B61" s="17">
        <f t="shared" si="0"/>
        <v>8</v>
      </c>
      <c r="C61" s="42" t="str">
        <f>PS!C187</f>
        <v>P_to_wat</v>
      </c>
      <c r="D61" s="43"/>
      <c r="E61" s="80">
        <f>PS!D187</f>
        <v>1.2121490214572046E-9</v>
      </c>
      <c r="F61" s="357"/>
      <c r="G61" s="46"/>
      <c r="H61" s="47"/>
      <c r="I61" s="334">
        <v>1</v>
      </c>
      <c r="J61" s="394" t="str">
        <f>PS!Q187</f>
        <v>[kg/kg] phosphorous emissions to water total</v>
      </c>
      <c r="K61" s="395"/>
      <c r="L61" s="395"/>
      <c r="M61" s="395"/>
      <c r="N61" s="395"/>
      <c r="O61" s="395"/>
      <c r="P61" s="395"/>
      <c r="Q61" s="396"/>
      <c r="R61" s="2"/>
      <c r="S61" s="2"/>
      <c r="T61" s="2"/>
      <c r="U61" s="2"/>
      <c r="V61" s="2"/>
      <c r="W61" s="2"/>
      <c r="X61" s="2"/>
      <c r="Y61" s="2"/>
      <c r="Z61" s="2"/>
    </row>
    <row r="62" spans="1:26" x14ac:dyDescent="0.25">
      <c r="A62" s="2"/>
      <c r="B62" s="17">
        <f t="shared" si="0"/>
        <v>9</v>
      </c>
      <c r="C62" s="42" t="str">
        <f>PS!C188</f>
        <v>S_ate_wat</v>
      </c>
      <c r="D62" s="43"/>
      <c r="E62" s="80">
        <f>PS!D188</f>
        <v>1.3533759689317616E-4</v>
      </c>
      <c r="F62" s="357"/>
      <c r="G62" s="46"/>
      <c r="H62" s="47"/>
      <c r="I62" s="334">
        <v>1</v>
      </c>
      <c r="J62" s="394" t="str">
        <f>PS!Q188</f>
        <v>[kg/kg] sulphate emissions to water total</v>
      </c>
      <c r="K62" s="395"/>
      <c r="L62" s="395"/>
      <c r="M62" s="395"/>
      <c r="N62" s="395"/>
      <c r="O62" s="395"/>
      <c r="P62" s="395"/>
      <c r="Q62" s="396"/>
      <c r="R62" s="2"/>
      <c r="S62" s="2"/>
      <c r="T62" s="2"/>
      <c r="U62" s="2"/>
      <c r="V62" s="2"/>
      <c r="W62" s="2"/>
      <c r="X62" s="2"/>
      <c r="Y62" s="2"/>
      <c r="Z62" s="2"/>
    </row>
    <row r="63" spans="1:26" x14ac:dyDescent="0.25">
      <c r="A63" s="2"/>
      <c r="B63" s="17">
        <f t="shared" si="0"/>
        <v>9</v>
      </c>
      <c r="C63" s="42" t="str">
        <f>PS!C189</f>
        <v>S_ide_wat</v>
      </c>
      <c r="D63" s="43"/>
      <c r="E63" s="80">
        <f>PS!D189</f>
        <v>1.4545903439552623E-8</v>
      </c>
      <c r="F63" s="357"/>
      <c r="G63" s="46"/>
      <c r="H63" s="47"/>
      <c r="I63" s="334">
        <v>1</v>
      </c>
      <c r="J63" s="394" t="str">
        <f>PS!Q189</f>
        <v>[kg/kg] sulphite emissions to water total</v>
      </c>
      <c r="K63" s="395"/>
      <c r="L63" s="395"/>
      <c r="M63" s="395"/>
      <c r="N63" s="395"/>
      <c r="O63" s="395"/>
      <c r="P63" s="395"/>
      <c r="Q63" s="396"/>
      <c r="R63" s="2"/>
      <c r="S63" s="2"/>
      <c r="T63" s="2"/>
      <c r="U63" s="2"/>
      <c r="V63" s="2"/>
      <c r="W63" s="2"/>
      <c r="X63" s="2"/>
      <c r="Y63" s="2"/>
      <c r="Z63" s="2"/>
    </row>
    <row r="64" spans="1:26" x14ac:dyDescent="0.25">
      <c r="A64" s="2"/>
      <c r="B64" s="17">
        <f t="shared" si="0"/>
        <v>9</v>
      </c>
      <c r="C64" s="42" t="str">
        <f>PS!C190</f>
        <v>SS_to_wat</v>
      </c>
      <c r="D64" s="43"/>
      <c r="E64" s="80">
        <f>PS!D190</f>
        <v>5.150540789435069E-5</v>
      </c>
      <c r="F64" s="357"/>
      <c r="G64" s="46"/>
      <c r="H64" s="47"/>
      <c r="I64" s="334">
        <v>1</v>
      </c>
      <c r="J64" s="394" t="str">
        <f>PS!Q190</f>
        <v>[kg/kg] suspended solids emission to water total</v>
      </c>
      <c r="K64" s="395"/>
      <c r="L64" s="395"/>
      <c r="M64" s="395"/>
      <c r="N64" s="395"/>
      <c r="O64" s="395"/>
      <c r="P64" s="395"/>
      <c r="Q64" s="396"/>
      <c r="R64" s="2"/>
      <c r="S64" s="2"/>
      <c r="T64" s="2"/>
      <c r="U64" s="2"/>
      <c r="V64" s="2"/>
      <c r="W64" s="2"/>
      <c r="X64" s="2"/>
      <c r="Y64" s="2"/>
      <c r="Z64" s="2"/>
    </row>
    <row r="65" spans="1:26" x14ac:dyDescent="0.25">
      <c r="A65" s="2"/>
      <c r="B65" s="17">
        <f t="shared" si="0"/>
        <v>9</v>
      </c>
      <c r="C65" s="42" t="str">
        <f>PS!C191</f>
        <v>water_out</v>
      </c>
      <c r="D65" s="43"/>
      <c r="E65" s="80">
        <f>PS!D191</f>
        <v>1.0203273933257675</v>
      </c>
      <c r="F65" s="357"/>
      <c r="G65" s="46"/>
      <c r="H65" s="47"/>
      <c r="I65" s="334">
        <v>1</v>
      </c>
      <c r="J65" s="394" t="str">
        <f>PS!Q191</f>
        <v>[kg/kg] water released from plant total</v>
      </c>
      <c r="K65" s="395"/>
      <c r="L65" s="395"/>
      <c r="M65" s="395"/>
      <c r="N65" s="395"/>
      <c r="O65" s="395"/>
      <c r="P65" s="395"/>
      <c r="Q65" s="396"/>
      <c r="R65" s="2"/>
      <c r="S65" s="2"/>
      <c r="T65" s="2"/>
      <c r="U65" s="2"/>
      <c r="V65" s="2"/>
      <c r="W65" s="2"/>
      <c r="X65" s="2"/>
      <c r="Y65" s="2"/>
      <c r="Z65" s="2"/>
    </row>
    <row r="66" spans="1:26" x14ac:dyDescent="0.25">
      <c r="A66" s="2"/>
      <c r="B66" s="17">
        <f t="shared" si="0"/>
        <v>9</v>
      </c>
      <c r="C66" s="42" t="str">
        <f>PS!C192</f>
        <v>Zn_to_wat</v>
      </c>
      <c r="D66" s="43"/>
      <c r="E66" s="80">
        <f>PS!D192</f>
        <v>7.2775810388201812E-9</v>
      </c>
      <c r="F66" s="357"/>
      <c r="G66" s="46"/>
      <c r="H66" s="47"/>
      <c r="I66" s="334">
        <v>1</v>
      </c>
      <c r="J66" s="394" t="str">
        <f>PS!Q192</f>
        <v>[kg/kg] zinc emissions to water total</v>
      </c>
      <c r="K66" s="395"/>
      <c r="L66" s="395"/>
      <c r="M66" s="395"/>
      <c r="N66" s="395"/>
      <c r="O66" s="395"/>
      <c r="P66" s="395"/>
      <c r="Q66" s="396"/>
      <c r="R66" s="2"/>
      <c r="S66" s="2"/>
      <c r="T66" s="2"/>
      <c r="U66" s="2"/>
      <c r="V66" s="2"/>
      <c r="W66" s="2"/>
      <c r="X66" s="2"/>
      <c r="Y66" s="2"/>
      <c r="Z66" s="2"/>
    </row>
    <row r="67" spans="1:26" x14ac:dyDescent="0.25">
      <c r="A67" s="2"/>
      <c r="B67" s="17">
        <f t="shared" si="0"/>
        <v>10</v>
      </c>
      <c r="C67" s="42" t="str">
        <f>PS!C193</f>
        <v>NH3_to_air</v>
      </c>
      <c r="D67" s="43"/>
      <c r="E67" s="80">
        <f>PS!D193</f>
        <v>1.1951388616587626E-6</v>
      </c>
      <c r="F67" s="357"/>
      <c r="G67" s="46"/>
      <c r="H67" s="47"/>
      <c r="I67" s="334">
        <v>1</v>
      </c>
      <c r="J67" s="394" t="str">
        <f>PS!Q193</f>
        <v>[kg/kg] ammonia emission to air total</v>
      </c>
      <c r="K67" s="395"/>
      <c r="L67" s="395"/>
      <c r="M67" s="395"/>
      <c r="N67" s="395"/>
      <c r="O67" s="395"/>
      <c r="P67" s="395"/>
      <c r="Q67" s="396"/>
      <c r="R67" s="2"/>
      <c r="S67" s="2"/>
      <c r="T67" s="2"/>
      <c r="U67" s="2"/>
      <c r="V67" s="2"/>
      <c r="W67" s="2"/>
      <c r="X67" s="2"/>
      <c r="Y67" s="2"/>
      <c r="Z67" s="2"/>
    </row>
    <row r="68" spans="1:26" x14ac:dyDescent="0.25">
      <c r="A68" s="2"/>
      <c r="B68" s="17">
        <f t="shared" si="0"/>
        <v>9</v>
      </c>
      <c r="C68" s="42" t="str">
        <f>PS!C194</f>
        <v>CO_to_air</v>
      </c>
      <c r="D68" s="43"/>
      <c r="E68" s="80">
        <f>PS!D194</f>
        <v>2.8440245956187147E-4</v>
      </c>
      <c r="F68" s="357"/>
      <c r="G68" s="46"/>
      <c r="H68" s="47"/>
      <c r="I68" s="334">
        <v>1</v>
      </c>
      <c r="J68" s="394" t="str">
        <f>PS!Q194</f>
        <v>[kg/kg] carbon monoxide emission to air total</v>
      </c>
      <c r="K68" s="395"/>
      <c r="L68" s="395"/>
      <c r="M68" s="395"/>
      <c r="N68" s="395"/>
      <c r="O68" s="395"/>
      <c r="P68" s="395"/>
      <c r="Q68" s="396"/>
      <c r="R68" s="2"/>
      <c r="S68" s="2"/>
      <c r="T68" s="2"/>
      <c r="U68" s="2"/>
      <c r="V68" s="2"/>
      <c r="W68" s="2"/>
      <c r="X68" s="2"/>
      <c r="Y68" s="2"/>
      <c r="Z68" s="2"/>
    </row>
    <row r="69" spans="1:26" x14ac:dyDescent="0.25">
      <c r="A69" s="2"/>
      <c r="B69" s="17">
        <f t="shared" si="0"/>
        <v>10</v>
      </c>
      <c r="C69" s="42" t="str">
        <f>PS!C195</f>
        <v>HCl_to_air</v>
      </c>
      <c r="D69" s="43"/>
      <c r="E69" s="80">
        <f>PS!D195</f>
        <v>1.6099187235994913E-5</v>
      </c>
      <c r="F69" s="357"/>
      <c r="G69" s="46"/>
      <c r="H69" s="47"/>
      <c r="I69" s="334">
        <v>1</v>
      </c>
      <c r="J69" s="394" t="str">
        <f>PS!Q195</f>
        <v>[kg/kg] hydrochloric acid emission to air total</v>
      </c>
      <c r="K69" s="395"/>
      <c r="L69" s="395"/>
      <c r="M69" s="395"/>
      <c r="N69" s="395"/>
      <c r="O69" s="395"/>
      <c r="P69" s="395"/>
      <c r="Q69" s="396"/>
      <c r="R69" s="2"/>
      <c r="S69" s="2"/>
      <c r="T69" s="2"/>
      <c r="U69" s="2"/>
      <c r="V69" s="2"/>
      <c r="W69" s="2"/>
      <c r="X69" s="2"/>
      <c r="Y69" s="2"/>
      <c r="Z69" s="2"/>
    </row>
    <row r="70" spans="1:26" x14ac:dyDescent="0.25">
      <c r="A70" s="2"/>
      <c r="B70" s="17">
        <f t="shared" si="0"/>
        <v>9</v>
      </c>
      <c r="C70" s="42" t="str">
        <f>PS!C196</f>
        <v>Hg_to_air</v>
      </c>
      <c r="D70" s="43"/>
      <c r="E70" s="80">
        <f>PS!D196</f>
        <v>1.3419830637071923E-8</v>
      </c>
      <c r="F70" s="357"/>
      <c r="G70" s="46"/>
      <c r="H70" s="47"/>
      <c r="I70" s="334">
        <v>1</v>
      </c>
      <c r="J70" s="394" t="str">
        <f>PS!Q196</f>
        <v>[kg/kg] mercury emission to air total</v>
      </c>
      <c r="K70" s="395"/>
      <c r="L70" s="395"/>
      <c r="M70" s="395"/>
      <c r="N70" s="395"/>
      <c r="O70" s="395"/>
      <c r="P70" s="395"/>
      <c r="Q70" s="396"/>
      <c r="R70" s="2"/>
      <c r="S70" s="2"/>
      <c r="T70" s="2"/>
      <c r="U70" s="2"/>
      <c r="V70" s="2"/>
      <c r="W70" s="2"/>
      <c r="X70" s="2"/>
      <c r="Y70" s="2"/>
      <c r="Z70" s="2"/>
    </row>
    <row r="71" spans="1:26" x14ac:dyDescent="0.25">
      <c r="A71" s="2"/>
      <c r="B71" s="17">
        <f t="shared" si="0"/>
        <v>10</v>
      </c>
      <c r="C71" s="42" t="str">
        <f>PS!C197</f>
        <v>CH4_to_air</v>
      </c>
      <c r="D71" s="43"/>
      <c r="E71" s="80">
        <f>PS!D197</f>
        <v>8.5677994402339378E-6</v>
      </c>
      <c r="F71" s="357"/>
      <c r="G71" s="46"/>
      <c r="H71" s="47"/>
      <c r="I71" s="334">
        <v>1</v>
      </c>
      <c r="J71" s="394" t="str">
        <f>PS!Q197</f>
        <v>[kg/kg] methane emission to air total</v>
      </c>
      <c r="K71" s="395"/>
      <c r="L71" s="395"/>
      <c r="M71" s="395"/>
      <c r="N71" s="395"/>
      <c r="O71" s="395"/>
      <c r="P71" s="395"/>
      <c r="Q71" s="396"/>
      <c r="R71" s="2"/>
      <c r="S71" s="2"/>
      <c r="T71" s="2"/>
      <c r="U71" s="2"/>
      <c r="V71" s="2"/>
      <c r="W71" s="2"/>
      <c r="X71" s="2"/>
      <c r="Y71" s="2"/>
      <c r="Z71" s="2"/>
    </row>
    <row r="72" spans="1:26" x14ac:dyDescent="0.25">
      <c r="A72" s="2"/>
      <c r="B72" s="17">
        <f t="shared" si="0"/>
        <v>10</v>
      </c>
      <c r="C72" s="42" t="str">
        <f>PS!C198</f>
        <v>NOx_to_air</v>
      </c>
      <c r="D72" s="43"/>
      <c r="E72" s="80">
        <f>PS!D198</f>
        <v>5.2834826698880443E-4</v>
      </c>
      <c r="F72" s="357"/>
      <c r="G72" s="46"/>
      <c r="H72" s="47"/>
      <c r="I72" s="334">
        <v>1</v>
      </c>
      <c r="J72" s="394" t="str">
        <f>PS!Q198</f>
        <v>[kg/kg] nitrous oxides emission to air total</v>
      </c>
      <c r="K72" s="395"/>
      <c r="L72" s="395"/>
      <c r="M72" s="395"/>
      <c r="N72" s="395"/>
      <c r="O72" s="395"/>
      <c r="P72" s="395"/>
      <c r="Q72" s="396"/>
      <c r="R72" s="2"/>
      <c r="S72" s="2"/>
      <c r="T72" s="2"/>
      <c r="U72" s="2"/>
      <c r="V72" s="2"/>
      <c r="W72" s="2"/>
      <c r="X72" s="2"/>
      <c r="Y72" s="2"/>
      <c r="Z72" s="2"/>
    </row>
    <row r="73" spans="1:26" x14ac:dyDescent="0.25">
      <c r="A73" s="2"/>
      <c r="B73" s="17">
        <f t="shared" si="0"/>
        <v>9</v>
      </c>
      <c r="C73" s="42" t="str">
        <f>PS!C199</f>
        <v>PM_to_air</v>
      </c>
      <c r="D73" s="43"/>
      <c r="E73" s="80">
        <f>PS!D199</f>
        <v>7.049540137179848E-4</v>
      </c>
      <c r="F73" s="357"/>
      <c r="G73" s="46"/>
      <c r="H73" s="47"/>
      <c r="I73" s="334">
        <v>1</v>
      </c>
      <c r="J73" s="394" t="str">
        <f>PS!Q199</f>
        <v>[kg/kg] particulate matter emission to air total</v>
      </c>
      <c r="K73" s="395"/>
      <c r="L73" s="395"/>
      <c r="M73" s="395"/>
      <c r="N73" s="395"/>
      <c r="O73" s="395"/>
      <c r="P73" s="395"/>
      <c r="Q73" s="396"/>
      <c r="R73" s="2"/>
      <c r="S73" s="2"/>
      <c r="T73" s="2"/>
      <c r="U73" s="2"/>
      <c r="V73" s="2"/>
      <c r="W73" s="2"/>
      <c r="X73" s="2"/>
      <c r="Y73" s="2"/>
      <c r="Z73" s="2"/>
    </row>
    <row r="74" spans="1:26" x14ac:dyDescent="0.25">
      <c r="A74" s="2"/>
      <c r="B74" s="17">
        <f t="shared" si="0"/>
        <v>10</v>
      </c>
      <c r="C74" s="42" t="str">
        <f>PS!C200</f>
        <v>SO2_to_air</v>
      </c>
      <c r="D74" s="43"/>
      <c r="E74" s="80">
        <f>PS!D200</f>
        <v>2.8403049665019173E-4</v>
      </c>
      <c r="F74" s="357"/>
      <c r="G74" s="46"/>
      <c r="H74" s="47"/>
      <c r="I74" s="334">
        <v>1</v>
      </c>
      <c r="J74" s="394" t="str">
        <f>PS!Q200</f>
        <v>[kg/kg] sulphur dioxide emissions to air total</v>
      </c>
      <c r="K74" s="395"/>
      <c r="L74" s="395"/>
      <c r="M74" s="395"/>
      <c r="N74" s="395"/>
      <c r="O74" s="395"/>
      <c r="P74" s="395"/>
      <c r="Q74" s="396"/>
      <c r="R74" s="2"/>
      <c r="S74" s="2"/>
      <c r="T74" s="2"/>
      <c r="U74" s="2"/>
      <c r="V74" s="2"/>
      <c r="W74" s="2"/>
      <c r="X74" s="2"/>
      <c r="Y74" s="2"/>
      <c r="Z74" s="2"/>
    </row>
    <row r="75" spans="1:26" x14ac:dyDescent="0.25">
      <c r="A75" s="2"/>
      <c r="B75" s="17">
        <f t="shared" si="0"/>
        <v>9</v>
      </c>
      <c r="C75" s="42" t="str">
        <f>PS!C201</f>
        <v>NMVOC_air</v>
      </c>
      <c r="D75" s="43"/>
      <c r="E75" s="80">
        <f>PS!D201</f>
        <v>6.6638318284737662E-6</v>
      </c>
      <c r="F75" s="357"/>
      <c r="G75" s="46"/>
      <c r="H75" s="47"/>
      <c r="I75" s="334">
        <v>1</v>
      </c>
      <c r="J75" s="394" t="str">
        <f>PS!Q201</f>
        <v>[kg/kg] non-methane volatile organic carbon emission to air total</v>
      </c>
      <c r="K75" s="395"/>
      <c r="L75" s="395"/>
      <c r="M75" s="395"/>
      <c r="N75" s="395"/>
      <c r="O75" s="395"/>
      <c r="P75" s="395"/>
      <c r="Q75" s="396"/>
      <c r="R75" s="2"/>
      <c r="S75" s="2"/>
      <c r="T75" s="2"/>
      <c r="U75" s="2"/>
      <c r="V75" s="2"/>
      <c r="W75" s="2"/>
      <c r="X75" s="2"/>
      <c r="Y75" s="2"/>
      <c r="Z75" s="2"/>
    </row>
    <row r="76" spans="1:26" x14ac:dyDescent="0.25">
      <c r="A76" s="2"/>
      <c r="B76" s="17">
        <f t="shared" si="0"/>
        <v>10</v>
      </c>
      <c r="C76" s="42" t="str">
        <f>PS!C202</f>
        <v>solidwaste</v>
      </c>
      <c r="D76" s="43"/>
      <c r="E76" s="80">
        <f>PS!D202</f>
        <v>4.1133556469074829E-2</v>
      </c>
      <c r="F76" s="357"/>
      <c r="G76" s="46"/>
      <c r="H76" s="47"/>
      <c r="I76" s="334">
        <v>1</v>
      </c>
      <c r="J76" s="394" t="str">
        <f>PS!Q202</f>
        <v>[kg/kg] solid waste to landfill total</v>
      </c>
      <c r="K76" s="395"/>
      <c r="L76" s="395"/>
      <c r="M76" s="395"/>
      <c r="N76" s="395"/>
      <c r="O76" s="395"/>
      <c r="P76" s="395"/>
      <c r="Q76" s="396"/>
      <c r="R76" s="2"/>
      <c r="S76" s="2"/>
      <c r="T76" s="2"/>
      <c r="U76" s="2"/>
      <c r="V76" s="2"/>
      <c r="W76" s="2"/>
      <c r="X76" s="2"/>
      <c r="Y76" s="2"/>
      <c r="Z76" s="2"/>
    </row>
    <row r="77" spans="1:26" x14ac:dyDescent="0.25">
      <c r="A77" s="2"/>
      <c r="B77" s="17">
        <f t="shared" si="0"/>
        <v>9</v>
      </c>
      <c r="C77" s="42" t="str">
        <f>PS!C203</f>
        <v>cu_to_wat</v>
      </c>
      <c r="D77" s="43"/>
      <c r="E77" s="80">
        <f>PS!D203</f>
        <v>5.1447831139022238E-12</v>
      </c>
      <c r="F77" s="357"/>
      <c r="G77" s="46"/>
      <c r="H77" s="47"/>
      <c r="I77" s="334">
        <v>1</v>
      </c>
      <c r="J77" s="394" t="str">
        <f>PS!Q203</f>
        <v>[kg/kg] copper emission to water total</v>
      </c>
      <c r="K77" s="395"/>
      <c r="L77" s="395"/>
      <c r="M77" s="395"/>
      <c r="N77" s="395"/>
      <c r="O77" s="395"/>
      <c r="P77" s="395"/>
      <c r="Q77" s="396"/>
      <c r="R77" s="2"/>
      <c r="S77" s="2"/>
      <c r="T77" s="2"/>
      <c r="U77" s="2"/>
      <c r="V77" s="2"/>
      <c r="W77" s="2"/>
      <c r="X77" s="2"/>
      <c r="Y77" s="2"/>
      <c r="Z77" s="2"/>
    </row>
    <row r="78" spans="1:26" x14ac:dyDescent="0.25">
      <c r="A78" s="2"/>
      <c r="B78" s="17">
        <f t="shared" si="0"/>
        <v>9</v>
      </c>
      <c r="C78" s="42" t="str">
        <f>PS!C204</f>
        <v>Fe_to_wat</v>
      </c>
      <c r="D78" s="43"/>
      <c r="E78" s="80">
        <f>PS!D204</f>
        <v>5.1447831139022238E-12</v>
      </c>
      <c r="F78" s="357"/>
      <c r="G78" s="46"/>
      <c r="H78" s="47"/>
      <c r="I78" s="334">
        <v>1</v>
      </c>
      <c r="J78" s="394" t="str">
        <f>PS!Q204</f>
        <v>[kg/kg] iron emission to water total</v>
      </c>
      <c r="K78" s="395"/>
      <c r="L78" s="395"/>
      <c r="M78" s="395"/>
      <c r="N78" s="395"/>
      <c r="O78" s="395"/>
      <c r="P78" s="395"/>
      <c r="Q78" s="396"/>
      <c r="R78" s="2"/>
      <c r="S78" s="2"/>
      <c r="T78" s="2"/>
      <c r="U78" s="2"/>
      <c r="V78" s="2"/>
      <c r="W78" s="2"/>
      <c r="X78" s="2"/>
      <c r="Y78" s="2"/>
      <c r="Z78" s="2"/>
    </row>
    <row r="79" spans="1:26" x14ac:dyDescent="0.25">
      <c r="A79" s="2"/>
      <c r="B79" s="17">
        <f t="shared" si="0"/>
        <v>9</v>
      </c>
      <c r="C79" s="42" t="str">
        <f>PS!C205</f>
        <v>As_to_air</v>
      </c>
      <c r="D79" s="43"/>
      <c r="E79" s="80">
        <f>PS!D205</f>
        <v>1.7207501826350396E-10</v>
      </c>
      <c r="F79" s="357"/>
      <c r="G79" s="46"/>
      <c r="H79" s="47"/>
      <c r="I79" s="334">
        <v>1</v>
      </c>
      <c r="J79" s="394" t="str">
        <f>PS!Q205</f>
        <v>[kg/kg] arsenic emission to air total</v>
      </c>
      <c r="K79" s="395"/>
      <c r="L79" s="395"/>
      <c r="M79" s="395"/>
      <c r="N79" s="395"/>
      <c r="O79" s="395"/>
      <c r="P79" s="395"/>
      <c r="Q79" s="396"/>
      <c r="R79" s="2"/>
      <c r="S79" s="2"/>
      <c r="T79" s="2"/>
      <c r="U79" s="2"/>
      <c r="V79" s="2"/>
      <c r="W79" s="2"/>
      <c r="X79" s="2"/>
      <c r="Y79" s="2"/>
      <c r="Z79" s="2"/>
    </row>
    <row r="80" spans="1:26" x14ac:dyDescent="0.25">
      <c r="A80" s="2"/>
      <c r="B80" s="17">
        <f t="shared" si="0"/>
        <v>9</v>
      </c>
      <c r="C80" s="42" t="str">
        <f>PS!C206</f>
        <v>Be_to_air</v>
      </c>
      <c r="D80" s="43"/>
      <c r="E80" s="80">
        <f>PS!D206</f>
        <v>1.8795392519442426E-11</v>
      </c>
      <c r="F80" s="357"/>
      <c r="G80" s="46"/>
      <c r="H80" s="47"/>
      <c r="I80" s="334">
        <v>1</v>
      </c>
      <c r="J80" s="394" t="str">
        <f>PS!Q206</f>
        <v>[kg/kg] beryllium emission to air total</v>
      </c>
      <c r="K80" s="395"/>
      <c r="L80" s="395"/>
      <c r="M80" s="395"/>
      <c r="N80" s="395"/>
      <c r="O80" s="395"/>
      <c r="P80" s="395"/>
      <c r="Q80" s="396"/>
      <c r="R80" s="2"/>
      <c r="S80" s="2"/>
      <c r="T80" s="2"/>
      <c r="U80" s="2"/>
      <c r="V80" s="2"/>
      <c r="W80" s="2"/>
      <c r="X80" s="2"/>
      <c r="Y80" s="2"/>
      <c r="Z80" s="2"/>
    </row>
    <row r="81" spans="1:26" x14ac:dyDescent="0.25">
      <c r="A81" s="2"/>
      <c r="B81" s="17">
        <f t="shared" si="0"/>
        <v>9</v>
      </c>
      <c r="C81" s="42" t="str">
        <f>PS!C207</f>
        <v>Cd_to_air</v>
      </c>
      <c r="D81" s="43"/>
      <c r="E81" s="80">
        <f>PS!D207</f>
        <v>8.5778627582825969E-11</v>
      </c>
      <c r="F81" s="357"/>
      <c r="G81" s="46"/>
      <c r="H81" s="47"/>
      <c r="I81" s="334">
        <v>1</v>
      </c>
      <c r="J81" s="394" t="str">
        <f>PS!Q207</f>
        <v>[kg/kg] cadmium emission to air total</v>
      </c>
      <c r="K81" s="395"/>
      <c r="L81" s="395"/>
      <c r="M81" s="395"/>
      <c r="N81" s="395"/>
      <c r="O81" s="395"/>
      <c r="P81" s="395"/>
      <c r="Q81" s="396"/>
      <c r="R81" s="2"/>
      <c r="S81" s="2"/>
      <c r="T81" s="2"/>
      <c r="U81" s="2"/>
      <c r="V81" s="2"/>
      <c r="W81" s="2"/>
      <c r="X81" s="2"/>
      <c r="Y81" s="2"/>
      <c r="Z81" s="2"/>
    </row>
    <row r="82" spans="1:26" x14ac:dyDescent="0.25">
      <c r="A82" s="2"/>
      <c r="B82" s="17">
        <f t="shared" si="0"/>
        <v>9</v>
      </c>
      <c r="C82" s="42" t="str">
        <f>PS!C208</f>
        <v>Cr_to_air</v>
      </c>
      <c r="D82" s="43"/>
      <c r="E82" s="80">
        <f>PS!D208</f>
        <v>6.2757299502705133E-10</v>
      </c>
      <c r="F82" s="357"/>
      <c r="G82" s="46"/>
      <c r="H82" s="47"/>
      <c r="I82" s="334">
        <v>1</v>
      </c>
      <c r="J82" s="394" t="str">
        <f>PS!Q208</f>
        <v>[kg/kg] chromium emission to air total</v>
      </c>
      <c r="K82" s="395"/>
      <c r="L82" s="395"/>
      <c r="M82" s="395"/>
      <c r="N82" s="395"/>
      <c r="O82" s="395"/>
      <c r="P82" s="395"/>
      <c r="Q82" s="396"/>
      <c r="R82" s="2"/>
      <c r="S82" s="2"/>
      <c r="T82" s="2"/>
      <c r="U82" s="2"/>
      <c r="V82" s="2"/>
      <c r="W82" s="2"/>
      <c r="X82" s="2"/>
      <c r="Y82" s="2"/>
      <c r="Z82" s="2"/>
    </row>
    <row r="83" spans="1:26" x14ac:dyDescent="0.25">
      <c r="A83" s="2"/>
      <c r="B83" s="17">
        <f t="shared" si="0"/>
        <v>10</v>
      </c>
      <c r="C83" s="42" t="str">
        <f>PS!C209</f>
        <v>Cob_to_air</v>
      </c>
      <c r="D83" s="43"/>
      <c r="E83" s="80">
        <f>PS!D209</f>
        <v>3.2530076560651233E-11</v>
      </c>
      <c r="F83" s="357"/>
      <c r="G83" s="46"/>
      <c r="H83" s="47"/>
      <c r="I83" s="334">
        <v>1</v>
      </c>
      <c r="J83" s="394" t="str">
        <f>PS!Q209</f>
        <v>[kg/kg] cobalt dioxide emission to air total</v>
      </c>
      <c r="K83" s="395"/>
      <c r="L83" s="395"/>
      <c r="M83" s="395"/>
      <c r="N83" s="395"/>
      <c r="O83" s="395"/>
      <c r="P83" s="395"/>
      <c r="Q83" s="396"/>
      <c r="R83" s="2"/>
      <c r="S83" s="2"/>
      <c r="T83" s="2"/>
      <c r="U83" s="2"/>
      <c r="V83" s="2"/>
      <c r="W83" s="2"/>
      <c r="X83" s="2"/>
      <c r="Y83" s="2"/>
      <c r="Z83" s="2"/>
    </row>
    <row r="84" spans="1:26" x14ac:dyDescent="0.25">
      <c r="A84" s="2"/>
      <c r="B84" s="17">
        <f t="shared" si="0"/>
        <v>9</v>
      </c>
      <c r="C84" s="42" t="str">
        <f>PS!C210</f>
        <v>Cu_to_air</v>
      </c>
      <c r="D84" s="43"/>
      <c r="E84" s="80">
        <f>PS!D210</f>
        <v>1.0686695278969958E-11</v>
      </c>
      <c r="F84" s="357"/>
      <c r="G84" s="46"/>
      <c r="H84" s="47"/>
      <c r="I84" s="334">
        <v>1</v>
      </c>
      <c r="J84" s="394" t="str">
        <f>PS!Q210</f>
        <v>[kg/kg] copper emission to air total</v>
      </c>
      <c r="K84" s="395"/>
      <c r="L84" s="395"/>
      <c r="M84" s="395"/>
      <c r="N84" s="395"/>
      <c r="O84" s="395"/>
      <c r="P84" s="395"/>
      <c r="Q84" s="396"/>
      <c r="R84" s="2"/>
      <c r="S84" s="2"/>
      <c r="T84" s="2"/>
      <c r="U84" s="2"/>
      <c r="V84" s="2"/>
      <c r="W84" s="2"/>
      <c r="X84" s="2"/>
      <c r="Y84" s="2"/>
      <c r="Z84" s="2"/>
    </row>
    <row r="85" spans="1:26" x14ac:dyDescent="0.25">
      <c r="A85" s="2"/>
      <c r="B85" s="17">
        <f t="shared" si="0"/>
        <v>9</v>
      </c>
      <c r="C85" s="42" t="str">
        <f>PS!C211</f>
        <v>Pb_to_air</v>
      </c>
      <c r="D85" s="43"/>
      <c r="E85" s="80">
        <f>PS!D211</f>
        <v>2.4904526072837566E-10</v>
      </c>
      <c r="F85" s="357"/>
      <c r="G85" s="46"/>
      <c r="H85" s="47"/>
      <c r="I85" s="334">
        <v>1</v>
      </c>
      <c r="J85" s="394" t="str">
        <f>PS!Q211</f>
        <v>[kg/kg] lead emission to air total</v>
      </c>
      <c r="K85" s="395"/>
      <c r="L85" s="395"/>
      <c r="M85" s="395"/>
      <c r="N85" s="395"/>
      <c r="O85" s="395"/>
      <c r="P85" s="395"/>
      <c r="Q85" s="396"/>
      <c r="R85" s="2"/>
      <c r="S85" s="2"/>
      <c r="T85" s="2"/>
      <c r="U85" s="2"/>
      <c r="V85" s="2"/>
      <c r="W85" s="2"/>
      <c r="X85" s="2"/>
      <c r="Y85" s="2"/>
      <c r="Z85" s="2"/>
    </row>
    <row r="86" spans="1:26" x14ac:dyDescent="0.25">
      <c r="A86" s="2"/>
      <c r="B86" s="17">
        <f t="shared" si="0"/>
        <v>9</v>
      </c>
      <c r="C86" s="42" t="str">
        <f>PS!C212</f>
        <v>Mn_to_air</v>
      </c>
      <c r="D86" s="43"/>
      <c r="E86" s="80">
        <f>PS!D212</f>
        <v>3.8118664871116146E-9</v>
      </c>
      <c r="F86" s="357"/>
      <c r="G86" s="46"/>
      <c r="H86" s="47"/>
      <c r="I86" s="334">
        <v>1</v>
      </c>
      <c r="J86" s="394" t="str">
        <f>PS!Q212</f>
        <v>[kg/kg] manganese emission to air total</v>
      </c>
      <c r="K86" s="395"/>
      <c r="L86" s="395"/>
      <c r="M86" s="395"/>
      <c r="N86" s="395"/>
      <c r="O86" s="395"/>
      <c r="P86" s="395"/>
      <c r="Q86" s="396"/>
      <c r="R86" s="2"/>
      <c r="S86" s="2"/>
      <c r="T86" s="2"/>
      <c r="U86" s="2"/>
      <c r="V86" s="2"/>
      <c r="W86" s="2"/>
      <c r="X86" s="2"/>
      <c r="Y86" s="2"/>
      <c r="Z86" s="2"/>
    </row>
    <row r="87" spans="1:26" x14ac:dyDescent="0.25">
      <c r="A87" s="2"/>
      <c r="B87" s="17">
        <f t="shared" si="0"/>
        <v>9</v>
      </c>
      <c r="C87" s="42" t="str">
        <f>PS!C213</f>
        <v>Ni_to_air</v>
      </c>
      <c r="D87" s="43"/>
      <c r="E87" s="80">
        <f>PS!D213</f>
        <v>1.1779003610742216E-9</v>
      </c>
      <c r="F87" s="357"/>
      <c r="G87" s="46"/>
      <c r="H87" s="47"/>
      <c r="I87" s="334">
        <v>1</v>
      </c>
      <c r="J87" s="394" t="str">
        <f>PS!Q213</f>
        <v>[kg/kg] nickel emission to air total</v>
      </c>
      <c r="K87" s="395"/>
      <c r="L87" s="395"/>
      <c r="M87" s="395"/>
      <c r="N87" s="395"/>
      <c r="O87" s="395"/>
      <c r="P87" s="395"/>
      <c r="Q87" s="396"/>
      <c r="R87" s="2"/>
      <c r="S87" s="2"/>
      <c r="T87" s="2"/>
      <c r="U87" s="2"/>
      <c r="V87" s="2"/>
      <c r="W87" s="2"/>
      <c r="X87" s="2"/>
      <c r="Y87" s="2"/>
      <c r="Z87" s="2"/>
    </row>
    <row r="88" spans="1:26" x14ac:dyDescent="0.25">
      <c r="A88" s="2"/>
      <c r="B88" s="17">
        <f t="shared" si="0"/>
        <v>9</v>
      </c>
      <c r="C88" s="42" t="str">
        <f>PS!C214</f>
        <v>Perch_air</v>
      </c>
      <c r="D88" s="43"/>
      <c r="E88" s="80">
        <f>PS!D214</f>
        <v>1.2998179086139705E-12</v>
      </c>
      <c r="F88" s="357"/>
      <c r="G88" s="46"/>
      <c r="H88" s="47"/>
      <c r="I88" s="334">
        <v>1</v>
      </c>
      <c r="J88" s="394" t="str">
        <f>PS!Q214</f>
        <v>[kg/kg] perchloroethylene emission to air total</v>
      </c>
      <c r="K88" s="395"/>
      <c r="L88" s="395"/>
      <c r="M88" s="395"/>
      <c r="N88" s="395"/>
      <c r="O88" s="395"/>
      <c r="P88" s="395"/>
      <c r="Q88" s="396"/>
      <c r="R88" s="2"/>
      <c r="S88" s="2"/>
      <c r="T88" s="2"/>
      <c r="U88" s="2"/>
      <c r="V88" s="2"/>
      <c r="W88" s="2"/>
      <c r="X88" s="2"/>
      <c r="Y88" s="2"/>
      <c r="Z88" s="2"/>
    </row>
    <row r="89" spans="1:26" x14ac:dyDescent="0.25">
      <c r="A89" s="2"/>
      <c r="B89" s="17">
        <f t="shared" si="0"/>
        <v>8</v>
      </c>
      <c r="C89" s="42" t="str">
        <f>PS!C215</f>
        <v>P_to_air</v>
      </c>
      <c r="D89" s="43"/>
      <c r="E89" s="80">
        <f>PS!D215</f>
        <v>1.8698140200286121E-9</v>
      </c>
      <c r="F89" s="357"/>
      <c r="G89" s="46"/>
      <c r="H89" s="47"/>
      <c r="I89" s="334">
        <v>1</v>
      </c>
      <c r="J89" s="394" t="str">
        <f>PS!Q215</f>
        <v>[kg/kg] phosphorous emission to air total</v>
      </c>
      <c r="K89" s="395"/>
      <c r="L89" s="395"/>
      <c r="M89" s="395"/>
      <c r="N89" s="395"/>
      <c r="O89" s="395"/>
      <c r="P89" s="395"/>
      <c r="Q89" s="396"/>
      <c r="R89" s="2"/>
      <c r="S89" s="2"/>
      <c r="T89" s="2"/>
      <c r="U89" s="2"/>
      <c r="V89" s="2"/>
      <c r="W89" s="2"/>
      <c r="X89" s="2"/>
      <c r="Y89" s="2"/>
      <c r="Z89" s="2"/>
    </row>
    <row r="90" spans="1:26" x14ac:dyDescent="0.25">
      <c r="A90" s="2"/>
      <c r="B90" s="17">
        <f t="shared" si="0"/>
        <v>9</v>
      </c>
      <c r="C90" s="42" t="str">
        <f>PS!C216</f>
        <v>RN_to_air</v>
      </c>
      <c r="D90" s="43"/>
      <c r="E90" s="80">
        <f>PS!D216</f>
        <v>1.3076256696834184E-5</v>
      </c>
      <c r="F90" s="357"/>
      <c r="G90" s="46"/>
      <c r="H90" s="47"/>
      <c r="I90" s="334">
        <v>1</v>
      </c>
      <c r="J90" s="394" t="str">
        <f>PS!Q216</f>
        <v>[kBq/kg] radionuclides emission to air total</v>
      </c>
      <c r="K90" s="395"/>
      <c r="L90" s="395"/>
      <c r="M90" s="395"/>
      <c r="N90" s="395"/>
      <c r="O90" s="395"/>
      <c r="P90" s="395"/>
      <c r="Q90" s="396"/>
      <c r="R90" s="2"/>
      <c r="S90" s="2"/>
      <c r="T90" s="2"/>
      <c r="U90" s="2"/>
      <c r="V90" s="2"/>
      <c r="W90" s="2"/>
      <c r="X90" s="2"/>
      <c r="Y90" s="2"/>
      <c r="Z90" s="2"/>
    </row>
    <row r="91" spans="1:26" x14ac:dyDescent="0.25">
      <c r="A91" s="2"/>
      <c r="B91" s="17">
        <f t="shared" si="0"/>
        <v>9</v>
      </c>
      <c r="C91" s="42" t="str">
        <f>PS!C217</f>
        <v>Se_to_air</v>
      </c>
      <c r="D91" s="43"/>
      <c r="E91" s="80">
        <f>PS!D217</f>
        <v>4.4851897718485398E-11</v>
      </c>
      <c r="F91" s="357"/>
      <c r="G91" s="46"/>
      <c r="H91" s="47"/>
      <c r="I91" s="334">
        <v>1</v>
      </c>
      <c r="J91" s="394" t="str">
        <f>PS!Q217</f>
        <v>[kg/kg] selenium emission to air total</v>
      </c>
      <c r="K91" s="395"/>
      <c r="L91" s="395"/>
      <c r="M91" s="395"/>
      <c r="N91" s="395"/>
      <c r="O91" s="395"/>
      <c r="P91" s="395"/>
      <c r="Q91" s="396"/>
      <c r="R91" s="2"/>
      <c r="S91" s="2"/>
      <c r="T91" s="2"/>
      <c r="U91" s="2"/>
      <c r="V91" s="2"/>
      <c r="W91" s="2"/>
      <c r="X91" s="2"/>
      <c r="Y91" s="2"/>
      <c r="Z91" s="2"/>
    </row>
    <row r="92" spans="1:26" x14ac:dyDescent="0.25">
      <c r="A92" s="2"/>
      <c r="B92" s="17">
        <f t="shared" si="0"/>
        <v>10</v>
      </c>
      <c r="C92" s="42" t="str">
        <f>PS!C218</f>
        <v>SOx_to_air</v>
      </c>
      <c r="D92" s="43"/>
      <c r="E92" s="80">
        <f>PS!D218</f>
        <v>1.1928978279535172E-6</v>
      </c>
      <c r="F92" s="357"/>
      <c r="G92" s="46"/>
      <c r="H92" s="47"/>
      <c r="I92" s="334">
        <v>1</v>
      </c>
      <c r="J92" s="394" t="str">
        <f>PS!Q218</f>
        <v>[kg/kg] sulphur oxides emission to air total</v>
      </c>
      <c r="K92" s="395"/>
      <c r="L92" s="395"/>
      <c r="M92" s="395"/>
      <c r="N92" s="395"/>
      <c r="O92" s="395"/>
      <c r="P92" s="395"/>
      <c r="Q92" s="396"/>
      <c r="R92" s="2"/>
      <c r="S92" s="2"/>
      <c r="T92" s="2"/>
      <c r="U92" s="2"/>
      <c r="V92" s="2"/>
      <c r="W92" s="2"/>
      <c r="X92" s="2"/>
      <c r="Y92" s="2"/>
      <c r="Z92" s="2"/>
    </row>
    <row r="93" spans="1:26" x14ac:dyDescent="0.25">
      <c r="A93" s="2"/>
      <c r="B93" s="17">
        <f t="shared" si="0"/>
        <v>9</v>
      </c>
      <c r="C93" s="42" t="str">
        <f>PS!C219</f>
        <v>Zn_to_air</v>
      </c>
      <c r="D93" s="43"/>
      <c r="E93" s="80">
        <f>PS!D219</f>
        <v>7.1244635193133047E-12</v>
      </c>
      <c r="F93" s="357"/>
      <c r="G93" s="46"/>
      <c r="H93" s="47"/>
      <c r="I93" s="334">
        <v>1</v>
      </c>
      <c r="J93" s="394" t="str">
        <f>PS!Q219</f>
        <v>[kg/kg] zinc emission to air total</v>
      </c>
      <c r="K93" s="395"/>
      <c r="L93" s="395"/>
      <c r="M93" s="395"/>
      <c r="N93" s="395"/>
      <c r="O93" s="395"/>
      <c r="P93" s="395"/>
      <c r="Q93" s="396"/>
      <c r="R93" s="2"/>
      <c r="S93" s="2"/>
      <c r="T93" s="2"/>
      <c r="U93" s="2"/>
      <c r="V93" s="2"/>
      <c r="W93" s="2"/>
      <c r="X93" s="2"/>
      <c r="Y93" s="2"/>
      <c r="Z93" s="2"/>
    </row>
    <row r="94" spans="1:26" x14ac:dyDescent="0.25">
      <c r="A94" s="2"/>
      <c r="B94" s="17">
        <f t="shared" si="0"/>
        <v>0</v>
      </c>
      <c r="C94" s="42"/>
      <c r="D94" s="43"/>
      <c r="E94" s="44"/>
      <c r="F94" s="45"/>
      <c r="G94" s="46"/>
      <c r="H94" s="47"/>
      <c r="I94" s="45"/>
      <c r="J94" s="394"/>
      <c r="K94" s="395"/>
      <c r="L94" s="395"/>
      <c r="M94" s="395"/>
      <c r="N94" s="395"/>
      <c r="O94" s="395"/>
      <c r="P94" s="395"/>
      <c r="Q94" s="396"/>
      <c r="R94" s="2"/>
      <c r="S94" s="2"/>
      <c r="T94" s="2"/>
      <c r="U94" s="2"/>
      <c r="V94" s="2"/>
      <c r="W94" s="2"/>
      <c r="X94" s="2"/>
      <c r="Y94" s="2"/>
      <c r="Z94" s="2"/>
    </row>
    <row r="95" spans="1:26" x14ac:dyDescent="0.25">
      <c r="A95" s="2"/>
      <c r="B95" s="9"/>
      <c r="C95" s="48" t="s">
        <v>65</v>
      </c>
      <c r="D95" s="49" t="s">
        <v>66</v>
      </c>
      <c r="E95" s="50"/>
      <c r="F95" s="50"/>
      <c r="G95" s="50"/>
      <c r="H95" s="51"/>
      <c r="I95" s="52"/>
      <c r="J95" s="53"/>
      <c r="K95" s="53"/>
      <c r="L95" s="53"/>
      <c r="M95" s="53"/>
      <c r="N95" s="53"/>
      <c r="O95" s="53"/>
      <c r="P95" s="53"/>
      <c r="Q95" s="54"/>
      <c r="R95" s="2"/>
      <c r="S95" s="2"/>
      <c r="T95" s="2"/>
      <c r="U95" s="2"/>
      <c r="V95" s="2"/>
      <c r="W95" s="2"/>
      <c r="X95" s="2"/>
      <c r="Y95" s="2"/>
      <c r="Z95" s="2"/>
    </row>
    <row r="96" spans="1:26" ht="15.75" thickBot="1" x14ac:dyDescent="0.3">
      <c r="A96" s="2"/>
      <c r="B96" s="9"/>
      <c r="C96" s="2"/>
      <c r="D96" s="2"/>
      <c r="E96" s="2"/>
      <c r="F96" s="2"/>
      <c r="G96" s="2"/>
      <c r="H96" s="2"/>
      <c r="I96" s="2"/>
      <c r="J96" s="2"/>
      <c r="K96" s="2"/>
      <c r="L96" s="2"/>
      <c r="M96" s="2"/>
      <c r="N96" s="2"/>
      <c r="O96" s="2"/>
      <c r="P96" s="2"/>
      <c r="Q96" s="2"/>
      <c r="R96" s="2"/>
      <c r="S96" s="2"/>
      <c r="T96" s="2"/>
      <c r="U96" s="2"/>
      <c r="V96" s="2"/>
      <c r="W96" s="2"/>
      <c r="X96" s="2"/>
      <c r="Y96" s="2"/>
      <c r="Z96" s="2"/>
    </row>
    <row r="97" spans="1:26" ht="15.75" thickBot="1" x14ac:dyDescent="0.3">
      <c r="A97" s="30"/>
      <c r="B97" s="400" t="s">
        <v>67</v>
      </c>
      <c r="C97" s="401"/>
      <c r="D97" s="401"/>
      <c r="E97" s="401"/>
      <c r="F97" s="401"/>
      <c r="G97" s="401"/>
      <c r="H97" s="401"/>
      <c r="I97" s="401"/>
      <c r="J97" s="401"/>
      <c r="K97" s="401"/>
      <c r="L97" s="401"/>
      <c r="M97" s="401"/>
      <c r="N97" s="401"/>
      <c r="O97" s="401"/>
      <c r="P97" s="401"/>
      <c r="Q97" s="402"/>
      <c r="R97" s="30"/>
      <c r="S97" s="30"/>
      <c r="T97" s="30"/>
      <c r="U97" s="30"/>
      <c r="V97" s="30"/>
      <c r="W97" s="30"/>
      <c r="X97" s="30"/>
      <c r="Y97" s="30"/>
      <c r="Z97" s="30"/>
    </row>
    <row r="98" spans="1:26" x14ac:dyDescent="0.25">
      <c r="A98" s="2"/>
      <c r="B98" s="9"/>
      <c r="C98" s="2"/>
      <c r="D98" s="2"/>
      <c r="E98" s="2"/>
      <c r="F98" s="2"/>
      <c r="G98" s="2"/>
      <c r="H98" s="40" t="s">
        <v>68</v>
      </c>
      <c r="I98" s="2"/>
      <c r="J98" s="2"/>
      <c r="K98" s="2"/>
      <c r="L98" s="2"/>
      <c r="M98" s="2"/>
      <c r="N98" s="2"/>
      <c r="O98" s="2"/>
      <c r="P98" s="2"/>
      <c r="Q98" s="2"/>
      <c r="R98" s="2"/>
      <c r="S98" s="2"/>
      <c r="T98" s="2"/>
      <c r="U98" s="2"/>
      <c r="V98" s="2"/>
      <c r="W98" s="2"/>
      <c r="X98" s="2"/>
      <c r="Y98" s="2"/>
      <c r="Z98" s="2"/>
    </row>
    <row r="99" spans="1:26" x14ac:dyDescent="0.25">
      <c r="A99" s="2"/>
      <c r="B99" s="9"/>
      <c r="C99" s="41" t="s">
        <v>69</v>
      </c>
      <c r="D99" s="41" t="s">
        <v>70</v>
      </c>
      <c r="E99" s="41" t="s">
        <v>59</v>
      </c>
      <c r="F99" s="41" t="s">
        <v>71</v>
      </c>
      <c r="G99" s="41" t="s">
        <v>69</v>
      </c>
      <c r="H99" s="41" t="s">
        <v>62</v>
      </c>
      <c r="I99" s="41" t="s">
        <v>72</v>
      </c>
      <c r="J99" s="41" t="s">
        <v>73</v>
      </c>
      <c r="K99" s="41" t="s">
        <v>74</v>
      </c>
      <c r="L99" s="41" t="s">
        <v>75</v>
      </c>
      <c r="M99" s="41" t="s">
        <v>63</v>
      </c>
      <c r="N99" s="229" t="s">
        <v>17</v>
      </c>
      <c r="O99" s="399" t="s">
        <v>64</v>
      </c>
      <c r="P99" s="399"/>
      <c r="Q99" s="399"/>
      <c r="R99" s="2"/>
      <c r="S99" s="2"/>
      <c r="T99" s="2"/>
      <c r="U99" s="2"/>
      <c r="V99" s="2"/>
      <c r="W99" s="2"/>
      <c r="X99" s="2"/>
      <c r="Y99" s="30"/>
      <c r="Z99" s="30"/>
    </row>
    <row r="100" spans="1:26" ht="14.25" customHeight="1" x14ac:dyDescent="0.25">
      <c r="A100" s="2"/>
      <c r="B100" s="9"/>
      <c r="C100" s="55" t="str">
        <f t="shared" ref="C100:C119" si="1">C33</f>
        <v>limestone</v>
      </c>
      <c r="D100" s="64" t="s">
        <v>753</v>
      </c>
      <c r="E100" s="56">
        <v>1</v>
      </c>
      <c r="F100" s="56"/>
      <c r="G100" s="57">
        <f t="shared" ref="G100:G119" si="2">IF($C100="",1,VLOOKUP($C100,$C$22:$H$95,3,FALSE))</f>
        <v>0.29980520433531621</v>
      </c>
      <c r="H100" s="58">
        <f t="shared" ref="H100:H119" si="3">IF($C100="","",VLOOKUP($C100,$C$22:$H$95,6,FALSE))</f>
        <v>0</v>
      </c>
      <c r="I100" s="339">
        <f>IF(D100="","",E100*G100*$D$5)</f>
        <v>0.29980520433531621</v>
      </c>
      <c r="J100" s="56" t="str">
        <f t="shared" ref="J100:J118" si="4">MID(J33,2,2)</f>
        <v>kg</v>
      </c>
      <c r="K100" s="60"/>
      <c r="L100" s="56" t="s">
        <v>101</v>
      </c>
      <c r="M100" s="335">
        <v>1</v>
      </c>
      <c r="N100" s="61" t="s">
        <v>816</v>
      </c>
      <c r="O100" s="391" t="str">
        <f>"[resource] "&amp;D100</f>
        <v>[resource] limestone</v>
      </c>
      <c r="P100" s="392"/>
      <c r="Q100" s="393"/>
      <c r="R100" s="2"/>
      <c r="S100" s="228"/>
      <c r="T100" s="228"/>
      <c r="U100" s="228"/>
      <c r="V100" s="228"/>
      <c r="W100" s="2"/>
      <c r="X100" s="2"/>
      <c r="Y100" s="30"/>
      <c r="Z100" s="30"/>
    </row>
    <row r="101" spans="1:26" ht="12.75" customHeight="1" x14ac:dyDescent="0.25">
      <c r="A101" s="2"/>
      <c r="B101" s="9"/>
      <c r="C101" s="55" t="str">
        <f t="shared" si="1"/>
        <v>shale</v>
      </c>
      <c r="D101" s="64" t="s">
        <v>754</v>
      </c>
      <c r="E101" s="56">
        <v>1</v>
      </c>
      <c r="F101" s="56"/>
      <c r="G101" s="57">
        <f t="shared" si="2"/>
        <v>1.105799140960124E-2</v>
      </c>
      <c r="H101" s="58">
        <f t="shared" si="3"/>
        <v>0</v>
      </c>
      <c r="I101" s="339">
        <f t="shared" ref="I101:I119" si="5">IF(D101="","",E101*G101*$D$5)</f>
        <v>1.105799140960124E-2</v>
      </c>
      <c r="J101" s="56" t="str">
        <f t="shared" si="4"/>
        <v>kg</v>
      </c>
      <c r="K101" s="60"/>
      <c r="L101" s="56" t="s">
        <v>101</v>
      </c>
      <c r="M101" s="335">
        <v>1</v>
      </c>
      <c r="N101" s="61" t="s">
        <v>816</v>
      </c>
      <c r="O101" s="391" t="str">
        <f t="shared" ref="O101:O110" si="6">"[resource] "&amp;D101</f>
        <v>[resource] shale</v>
      </c>
      <c r="P101" s="392"/>
      <c r="Q101" s="393"/>
      <c r="R101" s="2"/>
      <c r="S101" s="2"/>
      <c r="T101" s="2"/>
      <c r="U101" s="2"/>
      <c r="V101" s="2"/>
      <c r="W101" s="2"/>
      <c r="X101" s="2"/>
      <c r="Y101" s="30"/>
      <c r="Z101" s="30"/>
    </row>
    <row r="102" spans="1:26" ht="12.75" customHeight="1" x14ac:dyDescent="0.25">
      <c r="A102" s="2"/>
      <c r="B102" s="9"/>
      <c r="C102" s="55" t="str">
        <f t="shared" si="1"/>
        <v>clay</v>
      </c>
      <c r="D102" s="64" t="s">
        <v>755</v>
      </c>
      <c r="E102" s="56">
        <v>1</v>
      </c>
      <c r="F102" s="56"/>
      <c r="G102" s="57">
        <f t="shared" si="2"/>
        <v>1.3507270415111778E-2</v>
      </c>
      <c r="H102" s="58">
        <f t="shared" si="3"/>
        <v>0</v>
      </c>
      <c r="I102" s="339">
        <f t="shared" si="5"/>
        <v>1.3507270415111778E-2</v>
      </c>
      <c r="J102" s="56" t="str">
        <f t="shared" si="4"/>
        <v>kg</v>
      </c>
      <c r="K102" s="60"/>
      <c r="L102" s="56" t="s">
        <v>101</v>
      </c>
      <c r="M102" s="335">
        <v>1</v>
      </c>
      <c r="N102" s="61" t="s">
        <v>816</v>
      </c>
      <c r="O102" s="391" t="str">
        <f t="shared" si="6"/>
        <v>[resource] clay</v>
      </c>
      <c r="P102" s="392"/>
      <c r="Q102" s="393"/>
      <c r="R102" s="2"/>
      <c r="S102" s="2"/>
      <c r="T102" s="2"/>
      <c r="U102" s="2"/>
      <c r="V102" s="2"/>
      <c r="W102" s="2"/>
      <c r="X102" s="2"/>
      <c r="Y102" s="30"/>
      <c r="Z102" s="30"/>
    </row>
    <row r="103" spans="1:26" ht="12.75" customHeight="1" x14ac:dyDescent="0.25">
      <c r="A103" s="2"/>
      <c r="B103" s="9"/>
      <c r="C103" s="55" t="str">
        <f t="shared" si="1"/>
        <v>fndry_sand</v>
      </c>
      <c r="D103" s="64" t="s">
        <v>788</v>
      </c>
      <c r="E103" s="56">
        <v>1</v>
      </c>
      <c r="F103" s="56"/>
      <c r="G103" s="57">
        <f t="shared" si="2"/>
        <v>8.7549943155385468E-4</v>
      </c>
      <c r="H103" s="58">
        <f t="shared" si="3"/>
        <v>0</v>
      </c>
      <c r="I103" s="339">
        <f t="shared" si="5"/>
        <v>8.7549943155385468E-4</v>
      </c>
      <c r="J103" s="56" t="str">
        <f t="shared" si="4"/>
        <v>kg</v>
      </c>
      <c r="K103" s="60"/>
      <c r="L103" s="56" t="s">
        <v>101</v>
      </c>
      <c r="M103" s="335">
        <v>1</v>
      </c>
      <c r="N103" s="61" t="s">
        <v>816</v>
      </c>
      <c r="O103" s="391" t="str">
        <f t="shared" si="6"/>
        <v>[resource] foundary sand</v>
      </c>
      <c r="P103" s="392"/>
      <c r="Q103" s="393"/>
      <c r="R103" s="2"/>
      <c r="S103" s="2"/>
      <c r="T103" s="2"/>
      <c r="U103" s="2"/>
      <c r="V103" s="2"/>
      <c r="W103" s="2"/>
      <c r="X103" s="2"/>
      <c r="Y103" s="30"/>
      <c r="Z103" s="30"/>
    </row>
    <row r="104" spans="1:26" ht="12.75" customHeight="1" x14ac:dyDescent="0.25">
      <c r="A104" s="2"/>
      <c r="B104" s="9"/>
      <c r="C104" s="55" t="str">
        <f t="shared" si="1"/>
        <v>sand</v>
      </c>
      <c r="D104" s="64" t="s">
        <v>757</v>
      </c>
      <c r="E104" s="56">
        <v>1</v>
      </c>
      <c r="F104" s="56"/>
      <c r="G104" s="57">
        <f t="shared" si="2"/>
        <v>8.8226937994057234E-3</v>
      </c>
      <c r="H104" s="58">
        <f t="shared" si="3"/>
        <v>0</v>
      </c>
      <c r="I104" s="339">
        <f t="shared" si="5"/>
        <v>8.8226937994057234E-3</v>
      </c>
      <c r="J104" s="56" t="str">
        <f t="shared" si="4"/>
        <v>kg</v>
      </c>
      <c r="K104" s="60"/>
      <c r="L104" s="56" t="s">
        <v>101</v>
      </c>
      <c r="M104" s="335">
        <v>1</v>
      </c>
      <c r="N104" s="61" t="s">
        <v>816</v>
      </c>
      <c r="O104" s="391" t="str">
        <f t="shared" si="6"/>
        <v>[resource] sand</v>
      </c>
      <c r="P104" s="392"/>
      <c r="Q104" s="393"/>
      <c r="R104" s="2"/>
      <c r="S104" s="2"/>
      <c r="T104" s="2"/>
      <c r="U104" s="2"/>
      <c r="V104" s="2"/>
      <c r="W104" s="2"/>
      <c r="X104" s="2"/>
      <c r="Y104" s="30"/>
      <c r="Z104" s="30"/>
    </row>
    <row r="105" spans="1:26" ht="12.75" customHeight="1" x14ac:dyDescent="0.25">
      <c r="A105" s="2"/>
      <c r="B105" s="9"/>
      <c r="C105" s="55" t="str">
        <f t="shared" si="1"/>
        <v>iron_in</v>
      </c>
      <c r="D105" s="64" t="s">
        <v>789</v>
      </c>
      <c r="E105" s="56">
        <v>1</v>
      </c>
      <c r="F105" s="56"/>
      <c r="G105" s="57">
        <f t="shared" si="2"/>
        <v>3.0144836628131656E-3</v>
      </c>
      <c r="H105" s="58">
        <f t="shared" si="3"/>
        <v>0</v>
      </c>
      <c r="I105" s="339">
        <f t="shared" si="5"/>
        <v>3.0144836628131656E-3</v>
      </c>
      <c r="J105" s="56" t="str">
        <f t="shared" si="4"/>
        <v>kg</v>
      </c>
      <c r="K105" s="60"/>
      <c r="L105" s="56" t="s">
        <v>101</v>
      </c>
      <c r="M105" s="335">
        <v>1</v>
      </c>
      <c r="N105" s="61" t="s">
        <v>816</v>
      </c>
      <c r="O105" s="391" t="str">
        <f t="shared" si="6"/>
        <v>[resource] iron</v>
      </c>
      <c r="P105" s="392"/>
      <c r="Q105" s="393"/>
      <c r="R105" s="2"/>
      <c r="S105" s="2"/>
      <c r="T105" s="2"/>
      <c r="U105" s="2"/>
      <c r="V105" s="2"/>
      <c r="W105" s="2"/>
      <c r="X105" s="2"/>
      <c r="Y105" s="30"/>
      <c r="Z105" s="30"/>
    </row>
    <row r="106" spans="1:26" ht="12.75" customHeight="1" x14ac:dyDescent="0.25">
      <c r="A106" s="2"/>
      <c r="B106" s="9"/>
      <c r="C106" s="55" t="str">
        <f t="shared" si="1"/>
        <v>fa</v>
      </c>
      <c r="D106" s="64" t="s">
        <v>786</v>
      </c>
      <c r="E106" s="56">
        <v>1</v>
      </c>
      <c r="F106" s="56"/>
      <c r="G106" s="57">
        <f t="shared" si="2"/>
        <v>5.0894646903060668E-3</v>
      </c>
      <c r="H106" s="58">
        <f t="shared" si="3"/>
        <v>0</v>
      </c>
      <c r="I106" s="339">
        <f t="shared" si="5"/>
        <v>5.0894646903060668E-3</v>
      </c>
      <c r="J106" s="56" t="str">
        <f t="shared" si="4"/>
        <v>kg</v>
      </c>
      <c r="K106" s="60"/>
      <c r="L106" s="56" t="s">
        <v>101</v>
      </c>
      <c r="M106" s="335">
        <v>1</v>
      </c>
      <c r="N106" s="61" t="s">
        <v>816</v>
      </c>
      <c r="O106" s="391" t="str">
        <f t="shared" si="6"/>
        <v>[resource] fly ash</v>
      </c>
      <c r="P106" s="392"/>
      <c r="Q106" s="393"/>
      <c r="R106" s="2"/>
      <c r="S106" s="2"/>
      <c r="T106" s="2"/>
      <c r="U106" s="2"/>
      <c r="V106" s="2"/>
      <c r="W106" s="2"/>
      <c r="X106" s="2"/>
      <c r="Y106" s="30"/>
      <c r="Z106" s="30"/>
    </row>
    <row r="107" spans="1:26" ht="12.75" customHeight="1" x14ac:dyDescent="0.25">
      <c r="A107" s="2"/>
      <c r="B107" s="9"/>
      <c r="C107" s="55" t="str">
        <f t="shared" si="1"/>
        <v>slag</v>
      </c>
      <c r="D107" s="64" t="s">
        <v>453</v>
      </c>
      <c r="E107" s="56">
        <v>1</v>
      </c>
      <c r="F107" s="56"/>
      <c r="G107" s="57">
        <f t="shared" si="2"/>
        <v>4.5326481049770889E-3</v>
      </c>
      <c r="H107" s="58">
        <f t="shared" si="3"/>
        <v>0</v>
      </c>
      <c r="I107" s="339">
        <f t="shared" si="5"/>
        <v>4.5326481049770889E-3</v>
      </c>
      <c r="J107" s="56" t="str">
        <f t="shared" si="4"/>
        <v>kg</v>
      </c>
      <c r="K107" s="60"/>
      <c r="L107" s="56" t="s">
        <v>101</v>
      </c>
      <c r="M107" s="335">
        <v>1</v>
      </c>
      <c r="N107" s="61" t="s">
        <v>816</v>
      </c>
      <c r="O107" s="391" t="str">
        <f t="shared" si="6"/>
        <v>[resource] slag</v>
      </c>
      <c r="P107" s="392"/>
      <c r="Q107" s="393"/>
      <c r="R107" s="2"/>
      <c r="S107" s="2"/>
      <c r="T107" s="2"/>
      <c r="U107" s="2"/>
      <c r="V107" s="2"/>
      <c r="W107" s="2"/>
      <c r="X107" s="2"/>
      <c r="Y107" s="30"/>
      <c r="Z107" s="30"/>
    </row>
    <row r="108" spans="1:26" ht="12.75" customHeight="1" x14ac:dyDescent="0.25">
      <c r="A108" s="2"/>
      <c r="B108" s="9"/>
      <c r="C108" s="55" t="str">
        <f t="shared" si="1"/>
        <v>slate</v>
      </c>
      <c r="D108" s="64" t="s">
        <v>759</v>
      </c>
      <c r="E108" s="56">
        <v>1</v>
      </c>
      <c r="F108" s="56"/>
      <c r="G108" s="57">
        <f t="shared" si="2"/>
        <v>2.2480005503104544E-4</v>
      </c>
      <c r="H108" s="58">
        <f t="shared" si="3"/>
        <v>0</v>
      </c>
      <c r="I108" s="339">
        <f t="shared" si="5"/>
        <v>2.2480005503104544E-4</v>
      </c>
      <c r="J108" s="56" t="str">
        <f t="shared" si="4"/>
        <v>kg</v>
      </c>
      <c r="K108" s="60"/>
      <c r="L108" s="56" t="s">
        <v>101</v>
      </c>
      <c r="M108" s="335">
        <v>1</v>
      </c>
      <c r="N108" s="61" t="s">
        <v>816</v>
      </c>
      <c r="O108" s="391" t="str">
        <f t="shared" si="6"/>
        <v>[resource] slate</v>
      </c>
      <c r="P108" s="392"/>
      <c r="Q108" s="393"/>
      <c r="R108" s="2"/>
      <c r="S108" s="2"/>
      <c r="T108" s="2"/>
      <c r="U108" s="2"/>
      <c r="V108" s="2"/>
      <c r="W108" s="2"/>
      <c r="X108" s="2"/>
      <c r="Y108" s="30"/>
      <c r="Z108" s="30"/>
    </row>
    <row r="109" spans="1:26" ht="12.75" customHeight="1" x14ac:dyDescent="0.25">
      <c r="A109" s="2"/>
      <c r="B109" s="9"/>
      <c r="C109" s="55" t="str">
        <f t="shared" si="1"/>
        <v>gypsum</v>
      </c>
      <c r="D109" s="64" t="s">
        <v>760</v>
      </c>
      <c r="E109" s="56">
        <v>1</v>
      </c>
      <c r="F109" s="56"/>
      <c r="G109" s="57">
        <f t="shared" si="2"/>
        <v>1.066511906006096E-2</v>
      </c>
      <c r="H109" s="58">
        <f t="shared" si="3"/>
        <v>0</v>
      </c>
      <c r="I109" s="339">
        <f t="shared" si="5"/>
        <v>1.066511906006096E-2</v>
      </c>
      <c r="J109" s="56" t="str">
        <f t="shared" si="4"/>
        <v>kg</v>
      </c>
      <c r="K109" s="60"/>
      <c r="L109" s="56" t="s">
        <v>101</v>
      </c>
      <c r="M109" s="335">
        <v>1</v>
      </c>
      <c r="N109" s="61" t="s">
        <v>816</v>
      </c>
      <c r="O109" s="391" t="str">
        <f t="shared" si="6"/>
        <v>[resource] gypsum</v>
      </c>
      <c r="P109" s="392"/>
      <c r="Q109" s="393"/>
      <c r="R109" s="2"/>
      <c r="S109" s="2"/>
      <c r="T109" s="2"/>
      <c r="U109" s="2"/>
      <c r="V109" s="2"/>
      <c r="W109" s="2"/>
      <c r="X109" s="2"/>
      <c r="Y109" s="30"/>
      <c r="Z109" s="30"/>
    </row>
    <row r="110" spans="1:26" ht="12.75" customHeight="1" x14ac:dyDescent="0.25">
      <c r="A110" s="2"/>
      <c r="B110" s="9"/>
      <c r="C110" s="55" t="str">
        <f t="shared" si="1"/>
        <v>water_in</v>
      </c>
      <c r="D110" s="64" t="s">
        <v>799</v>
      </c>
      <c r="E110" s="56">
        <v>1</v>
      </c>
      <c r="F110" s="56"/>
      <c r="G110" s="57">
        <f t="shared" si="2"/>
        <v>0.30931648670294853</v>
      </c>
      <c r="H110" s="58">
        <f t="shared" si="3"/>
        <v>0</v>
      </c>
      <c r="I110" s="339">
        <f t="shared" si="5"/>
        <v>0.30931648670294853</v>
      </c>
      <c r="J110" s="56" t="str">
        <f t="shared" si="4"/>
        <v>kg</v>
      </c>
      <c r="K110" s="60"/>
      <c r="L110" s="56" t="s">
        <v>101</v>
      </c>
      <c r="M110" s="335">
        <v>1</v>
      </c>
      <c r="N110" s="61" t="s">
        <v>816</v>
      </c>
      <c r="O110" s="391" t="str">
        <f t="shared" si="6"/>
        <v>[resource] water input</v>
      </c>
      <c r="P110" s="392"/>
      <c r="Q110" s="393"/>
      <c r="R110" s="2"/>
      <c r="S110" s="2"/>
      <c r="T110" s="2"/>
      <c r="U110" s="2"/>
      <c r="V110" s="2"/>
      <c r="W110" s="2"/>
      <c r="X110" s="2"/>
      <c r="Y110" s="30"/>
      <c r="Z110" s="30"/>
    </row>
    <row r="111" spans="1:26" ht="12.75" customHeight="1" x14ac:dyDescent="0.25">
      <c r="A111" s="2"/>
      <c r="B111" s="9"/>
      <c r="C111" s="55" t="str">
        <f t="shared" si="1"/>
        <v>coal</v>
      </c>
      <c r="D111" s="64" t="s">
        <v>761</v>
      </c>
      <c r="E111" s="56">
        <v>1</v>
      </c>
      <c r="F111" s="56"/>
      <c r="G111" s="57">
        <f t="shared" si="2"/>
        <v>2.2167871049375412E-2</v>
      </c>
      <c r="H111" s="58">
        <f t="shared" si="3"/>
        <v>0</v>
      </c>
      <c r="I111" s="339">
        <f t="shared" si="5"/>
        <v>2.2167871049375412E-2</v>
      </c>
      <c r="J111" s="56" t="str">
        <f t="shared" si="4"/>
        <v>kg</v>
      </c>
      <c r="K111" s="60" t="s">
        <v>102</v>
      </c>
      <c r="L111" s="56" t="s">
        <v>101</v>
      </c>
      <c r="M111" s="335">
        <v>1</v>
      </c>
      <c r="N111" s="61" t="s">
        <v>816</v>
      </c>
      <c r="O111" s="391" t="str">
        <f t="shared" ref="O111:O119" si="7">"[technosphere] "&amp;D111</f>
        <v>[technosphere] coal</v>
      </c>
      <c r="P111" s="392"/>
      <c r="Q111" s="393"/>
      <c r="R111" s="2"/>
      <c r="S111" s="2"/>
      <c r="T111" s="2"/>
      <c r="U111" s="2"/>
      <c r="V111" s="2"/>
      <c r="W111" s="2"/>
      <c r="X111" s="2"/>
      <c r="Y111" s="30"/>
      <c r="Z111" s="30"/>
    </row>
    <row r="112" spans="1:26" ht="12.75" customHeight="1" x14ac:dyDescent="0.25">
      <c r="A112" s="2"/>
      <c r="B112" s="9"/>
      <c r="C112" s="55" t="str">
        <f t="shared" si="1"/>
        <v>gasoline</v>
      </c>
      <c r="D112" s="64" t="s">
        <v>232</v>
      </c>
      <c r="E112" s="56">
        <v>1</v>
      </c>
      <c r="F112" s="56"/>
      <c r="G112" s="57">
        <f t="shared" si="2"/>
        <v>4.3907549921337575E-4</v>
      </c>
      <c r="H112" s="58">
        <f t="shared" si="3"/>
        <v>0</v>
      </c>
      <c r="I112" s="339">
        <f t="shared" si="5"/>
        <v>4.3907549921337575E-4</v>
      </c>
      <c r="J112" s="56" t="str">
        <f t="shared" si="4"/>
        <v>kg</v>
      </c>
      <c r="K112" s="60" t="s">
        <v>102</v>
      </c>
      <c r="L112" s="56" t="s">
        <v>101</v>
      </c>
      <c r="M112" s="335">
        <v>1</v>
      </c>
      <c r="N112" s="61" t="s">
        <v>816</v>
      </c>
      <c r="O112" s="391" t="str">
        <f t="shared" si="7"/>
        <v>[technosphere] gasoline</v>
      </c>
      <c r="P112" s="392"/>
      <c r="Q112" s="393"/>
      <c r="R112" s="2"/>
      <c r="S112" s="2"/>
      <c r="T112" s="2"/>
      <c r="U112" s="2"/>
      <c r="V112" s="2"/>
      <c r="W112" s="2"/>
      <c r="X112" s="2"/>
      <c r="Y112" s="30"/>
      <c r="Z112" s="30"/>
    </row>
    <row r="113" spans="1:26" ht="12.75" customHeight="1" x14ac:dyDescent="0.25">
      <c r="A113" s="2"/>
      <c r="B113" s="9"/>
      <c r="C113" s="55" t="str">
        <f t="shared" si="1"/>
        <v>LPG</v>
      </c>
      <c r="D113" s="64" t="s">
        <v>1066</v>
      </c>
      <c r="E113" s="56">
        <v>1</v>
      </c>
      <c r="F113" s="56"/>
      <c r="G113" s="57">
        <f t="shared" si="2"/>
        <v>1.6813167332400596E-6</v>
      </c>
      <c r="H113" s="58">
        <f t="shared" si="3"/>
        <v>0</v>
      </c>
      <c r="I113" s="339">
        <f t="shared" si="5"/>
        <v>1.6813167332400596E-6</v>
      </c>
      <c r="J113" s="56" t="str">
        <f t="shared" si="4"/>
        <v>kg</v>
      </c>
      <c r="K113" s="60" t="s">
        <v>102</v>
      </c>
      <c r="L113" s="56" t="s">
        <v>101</v>
      </c>
      <c r="M113" s="335">
        <v>1</v>
      </c>
      <c r="N113" s="61" t="s">
        <v>816</v>
      </c>
      <c r="O113" s="391" t="str">
        <f t="shared" si="7"/>
        <v>[technosphere] Liquefied petroleum gas</v>
      </c>
      <c r="P113" s="392"/>
      <c r="Q113" s="393"/>
      <c r="R113" s="2"/>
      <c r="S113" s="2"/>
      <c r="T113" s="2"/>
      <c r="U113" s="2"/>
      <c r="V113" s="2"/>
      <c r="W113" s="2"/>
      <c r="X113" s="2"/>
      <c r="Y113" s="30"/>
      <c r="Z113" s="30"/>
    </row>
    <row r="114" spans="1:26" ht="12.75" customHeight="1" x14ac:dyDescent="0.25">
      <c r="A114" s="2"/>
      <c r="B114" s="9"/>
      <c r="C114" s="55" t="str">
        <f t="shared" si="1"/>
        <v>distillate</v>
      </c>
      <c r="D114" s="64" t="s">
        <v>340</v>
      </c>
      <c r="E114" s="56">
        <v>1</v>
      </c>
      <c r="F114" s="56"/>
      <c r="G114" s="57">
        <f t="shared" si="2"/>
        <v>3.2911754527926436E-3</v>
      </c>
      <c r="H114" s="58">
        <f t="shared" si="3"/>
        <v>0</v>
      </c>
      <c r="I114" s="339">
        <f t="shared" si="5"/>
        <v>3.2911754527926436E-3</v>
      </c>
      <c r="J114" s="56" t="str">
        <f t="shared" si="4"/>
        <v>kg</v>
      </c>
      <c r="K114" s="60" t="s">
        <v>102</v>
      </c>
      <c r="L114" s="56" t="s">
        <v>101</v>
      </c>
      <c r="M114" s="335">
        <v>1</v>
      </c>
      <c r="N114" s="61" t="s">
        <v>816</v>
      </c>
      <c r="O114" s="391" t="str">
        <f t="shared" si="7"/>
        <v>[technosphere] middle distillates</v>
      </c>
      <c r="P114" s="392"/>
      <c r="Q114" s="393"/>
      <c r="R114" s="2"/>
      <c r="S114" s="2"/>
      <c r="T114" s="2"/>
      <c r="U114" s="2"/>
      <c r="V114" s="2"/>
      <c r="W114" s="2"/>
      <c r="X114" s="2"/>
      <c r="Y114" s="30"/>
      <c r="Z114" s="30"/>
    </row>
    <row r="115" spans="1:26" ht="12.75" customHeight="1" x14ac:dyDescent="0.25">
      <c r="A115" s="2"/>
      <c r="B115" s="9"/>
      <c r="C115" s="55" t="str">
        <f t="shared" si="1"/>
        <v>nat_gas</v>
      </c>
      <c r="D115" s="64" t="s">
        <v>341</v>
      </c>
      <c r="E115" s="56">
        <v>1</v>
      </c>
      <c r="F115" s="56"/>
      <c r="G115" s="57">
        <f t="shared" si="2"/>
        <v>3.855495876605314E-3</v>
      </c>
      <c r="H115" s="58">
        <f t="shared" si="3"/>
        <v>0</v>
      </c>
      <c r="I115" s="339">
        <f t="shared" si="5"/>
        <v>3.855495876605314E-3</v>
      </c>
      <c r="J115" s="56" t="str">
        <f t="shared" si="4"/>
        <v>kg</v>
      </c>
      <c r="K115" s="60" t="s">
        <v>102</v>
      </c>
      <c r="L115" s="56" t="s">
        <v>101</v>
      </c>
      <c r="M115" s="335">
        <v>1</v>
      </c>
      <c r="N115" s="61" t="s">
        <v>816</v>
      </c>
      <c r="O115" s="391" t="str">
        <f t="shared" si="7"/>
        <v>[technosphere] natural gas</v>
      </c>
      <c r="P115" s="392"/>
      <c r="Q115" s="393"/>
      <c r="R115" s="2"/>
      <c r="S115" s="2"/>
      <c r="T115" s="2"/>
      <c r="U115" s="2"/>
      <c r="V115" s="2"/>
      <c r="W115" s="2"/>
      <c r="X115" s="2"/>
      <c r="Y115" s="30"/>
      <c r="Z115" s="30"/>
    </row>
    <row r="116" spans="1:26" ht="12.75" customHeight="1" x14ac:dyDescent="0.25">
      <c r="A116" s="2"/>
      <c r="B116" s="9"/>
      <c r="C116" s="55" t="str">
        <f t="shared" si="1"/>
        <v>pet_coke</v>
      </c>
      <c r="D116" s="64" t="s">
        <v>800</v>
      </c>
      <c r="E116" s="56">
        <v>1</v>
      </c>
      <c r="F116" s="56"/>
      <c r="G116" s="57">
        <f t="shared" si="2"/>
        <v>4.940670071172883E-3</v>
      </c>
      <c r="H116" s="58">
        <f t="shared" si="3"/>
        <v>0</v>
      </c>
      <c r="I116" s="339">
        <f t="shared" si="5"/>
        <v>4.940670071172883E-3</v>
      </c>
      <c r="J116" s="56" t="str">
        <f t="shared" si="4"/>
        <v>kg</v>
      </c>
      <c r="K116" s="60" t="s">
        <v>102</v>
      </c>
      <c r="L116" s="56" t="s">
        <v>101</v>
      </c>
      <c r="M116" s="335">
        <v>1</v>
      </c>
      <c r="N116" s="61" t="s">
        <v>816</v>
      </c>
      <c r="O116" s="391" t="str">
        <f t="shared" si="7"/>
        <v>[technosphere] petroleum coke</v>
      </c>
      <c r="P116" s="392"/>
      <c r="Q116" s="393"/>
      <c r="R116" s="2"/>
      <c r="S116" s="2"/>
      <c r="T116" s="2"/>
      <c r="U116" s="2"/>
      <c r="V116" s="2"/>
      <c r="W116" s="2"/>
      <c r="X116" s="2"/>
      <c r="Y116" s="30"/>
      <c r="Z116" s="30"/>
    </row>
    <row r="117" spans="1:26" ht="12.75" customHeight="1" x14ac:dyDescent="0.25">
      <c r="A117" s="2"/>
      <c r="B117" s="9"/>
      <c r="C117" s="55" t="str">
        <f t="shared" si="1"/>
        <v>res_oil</v>
      </c>
      <c r="D117" s="64" t="s">
        <v>801</v>
      </c>
      <c r="E117" s="56">
        <v>1</v>
      </c>
      <c r="F117" s="56"/>
      <c r="G117" s="57">
        <f t="shared" si="2"/>
        <v>8.0465275811290009E-5</v>
      </c>
      <c r="H117" s="58">
        <f t="shared" si="3"/>
        <v>0</v>
      </c>
      <c r="I117" s="339">
        <f t="shared" si="5"/>
        <v>8.0465275811290009E-5</v>
      </c>
      <c r="J117" s="56" t="str">
        <f t="shared" si="4"/>
        <v>kg</v>
      </c>
      <c r="K117" s="60" t="s">
        <v>102</v>
      </c>
      <c r="L117" s="56" t="s">
        <v>101</v>
      </c>
      <c r="M117" s="335">
        <v>1</v>
      </c>
      <c r="N117" s="61" t="s">
        <v>816</v>
      </c>
      <c r="O117" s="391" t="str">
        <f t="shared" si="7"/>
        <v>[technosphere] residual oil</v>
      </c>
      <c r="P117" s="392"/>
      <c r="Q117" s="393"/>
      <c r="R117" s="2"/>
      <c r="S117" s="2"/>
      <c r="T117" s="2"/>
      <c r="U117" s="2"/>
      <c r="V117" s="2"/>
      <c r="W117" s="2"/>
      <c r="X117" s="2"/>
      <c r="Y117" s="30"/>
      <c r="Z117" s="30"/>
    </row>
    <row r="118" spans="1:26" ht="12.75" customHeight="1" x14ac:dyDescent="0.25">
      <c r="A118" s="2"/>
      <c r="B118" s="9"/>
      <c r="C118" s="55" t="str">
        <f t="shared" si="1"/>
        <v>waste_en</v>
      </c>
      <c r="D118" s="64" t="s">
        <v>802</v>
      </c>
      <c r="E118" s="56">
        <v>1</v>
      </c>
      <c r="F118" s="56"/>
      <c r="G118" s="57">
        <f t="shared" si="2"/>
        <v>8.8913912736232414E-5</v>
      </c>
      <c r="H118" s="58">
        <f t="shared" si="3"/>
        <v>0</v>
      </c>
      <c r="I118" s="339">
        <f t="shared" si="5"/>
        <v>8.8913912736232414E-5</v>
      </c>
      <c r="J118" s="56" t="str">
        <f t="shared" si="4"/>
        <v>GJ</v>
      </c>
      <c r="K118" s="60"/>
      <c r="L118" s="56" t="s">
        <v>101</v>
      </c>
      <c r="M118" s="335">
        <v>1</v>
      </c>
      <c r="N118" s="61" t="s">
        <v>816</v>
      </c>
      <c r="O118" s="391" t="str">
        <f>"[resource] "&amp;D118</f>
        <v>[resource] waste energy</v>
      </c>
      <c r="P118" s="392"/>
      <c r="Q118" s="393"/>
      <c r="R118" s="2"/>
      <c r="S118" s="2"/>
      <c r="T118" s="2"/>
      <c r="U118" s="2"/>
      <c r="V118" s="2"/>
      <c r="W118" s="2"/>
      <c r="X118" s="2"/>
      <c r="Y118" s="30"/>
      <c r="Z118" s="30"/>
    </row>
    <row r="119" spans="1:26" ht="12.75" customHeight="1" x14ac:dyDescent="0.25">
      <c r="A119" s="2"/>
      <c r="B119" s="9"/>
      <c r="C119" s="55" t="str">
        <f t="shared" si="1"/>
        <v>electric</v>
      </c>
      <c r="D119" s="64" t="s">
        <v>235</v>
      </c>
      <c r="E119" s="56">
        <v>1</v>
      </c>
      <c r="F119" s="56"/>
      <c r="G119" s="57">
        <f t="shared" si="2"/>
        <v>4.9205648973279906E-2</v>
      </c>
      <c r="H119" s="58">
        <f t="shared" si="3"/>
        <v>0</v>
      </c>
      <c r="I119" s="339">
        <f t="shared" si="5"/>
        <v>4.9205648973279906E-2</v>
      </c>
      <c r="J119" s="56" t="str">
        <f>MID(J52,2,3)</f>
        <v>kWh</v>
      </c>
      <c r="K119" s="60" t="s">
        <v>102</v>
      </c>
      <c r="L119" s="56" t="s">
        <v>101</v>
      </c>
      <c r="M119" s="335">
        <v>1</v>
      </c>
      <c r="N119" s="61" t="s">
        <v>816</v>
      </c>
      <c r="O119" s="391" t="str">
        <f t="shared" si="7"/>
        <v>[technosphere] electricity</v>
      </c>
      <c r="P119" s="392"/>
      <c r="Q119" s="393"/>
      <c r="R119" s="2"/>
      <c r="S119" s="2"/>
      <c r="T119" s="2"/>
      <c r="U119" s="2"/>
      <c r="V119" s="2"/>
      <c r="W119" s="2"/>
      <c r="X119" s="2"/>
      <c r="Y119" s="30"/>
      <c r="Z119" s="30"/>
    </row>
    <row r="120" spans="1:26" x14ac:dyDescent="0.25">
      <c r="A120" s="2"/>
      <c r="B120" s="9"/>
      <c r="C120" s="55"/>
      <c r="D120" s="64"/>
      <c r="E120" s="56"/>
      <c r="F120" s="56"/>
      <c r="G120" s="57"/>
      <c r="H120" s="58"/>
      <c r="I120" s="59"/>
      <c r="J120" s="56"/>
      <c r="K120" s="60"/>
      <c r="L120" s="56"/>
      <c r="M120" s="335"/>
      <c r="N120" s="61"/>
      <c r="O120" s="391"/>
      <c r="P120" s="392"/>
      <c r="Q120" s="393"/>
      <c r="R120" s="2"/>
      <c r="S120" s="2"/>
      <c r="T120" s="2"/>
      <c r="U120" s="2"/>
      <c r="V120" s="2"/>
      <c r="W120" s="2"/>
      <c r="X120" s="2"/>
      <c r="Y120" s="30"/>
      <c r="Z120" s="30"/>
    </row>
    <row r="121" spans="1:26" x14ac:dyDescent="0.25">
      <c r="A121" s="2"/>
      <c r="B121" s="9"/>
      <c r="C121" s="56"/>
      <c r="D121" s="63"/>
      <c r="E121" s="56"/>
      <c r="F121" s="56"/>
      <c r="G121" s="57">
        <f>IF($C121="",1,VLOOKUP($C121,$C$22:$H$95,3,FALSE))</f>
        <v>1</v>
      </c>
      <c r="H121" s="58" t="str">
        <f>IF($C121="","",VLOOKUP($C121,$C$22:$H$95,6,FALSE))</f>
        <v/>
      </c>
      <c r="I121" s="59" t="str">
        <f t="shared" ref="I121" si="8">IF(D121="","",E121*G121*$D$5)</f>
        <v/>
      </c>
      <c r="J121" s="56"/>
      <c r="K121" s="60"/>
      <c r="L121" s="56"/>
      <c r="M121" s="61"/>
      <c r="N121" s="61"/>
      <c r="O121" s="391"/>
      <c r="P121" s="392"/>
      <c r="Q121" s="393"/>
      <c r="R121" s="2"/>
      <c r="S121" s="2"/>
      <c r="T121" s="2"/>
      <c r="U121" s="2"/>
      <c r="V121" s="2"/>
      <c r="W121" s="2"/>
      <c r="X121" s="2"/>
      <c r="Y121" s="30"/>
      <c r="Z121" s="30"/>
    </row>
    <row r="122" spans="1:26" x14ac:dyDescent="0.25">
      <c r="A122" s="2"/>
      <c r="B122" s="9"/>
      <c r="C122" s="65" t="s">
        <v>65</v>
      </c>
      <c r="D122" s="49" t="s">
        <v>66</v>
      </c>
      <c r="E122" s="66" t="s">
        <v>76</v>
      </c>
      <c r="F122" s="49"/>
      <c r="G122" s="49"/>
      <c r="H122" s="49"/>
      <c r="I122" s="66" t="s">
        <v>77</v>
      </c>
      <c r="J122" s="66"/>
      <c r="K122" s="49"/>
      <c r="L122" s="66"/>
      <c r="M122" s="49" t="s">
        <v>78</v>
      </c>
      <c r="N122" s="49"/>
      <c r="O122" s="419"/>
      <c r="P122" s="419"/>
      <c r="Q122" s="419"/>
      <c r="R122" s="2"/>
      <c r="S122" s="2"/>
      <c r="T122" s="2"/>
      <c r="U122" s="2"/>
      <c r="V122" s="2"/>
      <c r="W122" s="2"/>
      <c r="X122" s="2"/>
      <c r="Y122" s="30"/>
      <c r="Z122" s="30"/>
    </row>
    <row r="123" spans="1:26" ht="15.75" thickBot="1" x14ac:dyDescent="0.3">
      <c r="A123" s="2"/>
      <c r="B123" s="9"/>
      <c r="C123" s="2"/>
      <c r="D123" s="2"/>
      <c r="E123" s="2"/>
      <c r="F123" s="2"/>
      <c r="G123" s="2"/>
      <c r="H123" s="2"/>
      <c r="I123" s="2"/>
      <c r="J123" s="2"/>
      <c r="K123" s="2"/>
      <c r="L123" s="2"/>
      <c r="M123" s="2"/>
      <c r="N123" s="2"/>
      <c r="O123" s="2"/>
      <c r="P123" s="2"/>
      <c r="Q123" s="2"/>
      <c r="R123" s="2"/>
      <c r="S123" s="2"/>
      <c r="T123" s="2"/>
      <c r="U123" s="2"/>
      <c r="V123" s="2"/>
      <c r="W123" s="2"/>
      <c r="X123" s="2"/>
      <c r="Y123" s="30"/>
      <c r="Z123" s="30"/>
    </row>
    <row r="124" spans="1:26" ht="15.75" thickBot="1" x14ac:dyDescent="0.3">
      <c r="A124" s="30"/>
      <c r="B124" s="400" t="s">
        <v>79</v>
      </c>
      <c r="C124" s="401"/>
      <c r="D124" s="401"/>
      <c r="E124" s="401"/>
      <c r="F124" s="401"/>
      <c r="G124" s="401"/>
      <c r="H124" s="401"/>
      <c r="I124" s="401"/>
      <c r="J124" s="401"/>
      <c r="K124" s="401"/>
      <c r="L124" s="401"/>
      <c r="M124" s="401"/>
      <c r="N124" s="401"/>
      <c r="O124" s="401"/>
      <c r="P124" s="401"/>
      <c r="Q124" s="402"/>
      <c r="R124" s="30"/>
      <c r="S124" s="30"/>
      <c r="T124" s="30"/>
      <c r="U124" s="30"/>
      <c r="V124" s="30"/>
      <c r="W124" s="30"/>
      <c r="X124" s="30"/>
      <c r="Y124" s="30"/>
      <c r="Z124" s="30"/>
    </row>
    <row r="125" spans="1:26" x14ac:dyDescent="0.25">
      <c r="A125" s="2"/>
      <c r="B125" s="9"/>
      <c r="C125" s="2"/>
      <c r="D125" s="2"/>
      <c r="E125" s="2"/>
      <c r="F125" s="2"/>
      <c r="G125" s="2"/>
      <c r="H125" s="40" t="s">
        <v>80</v>
      </c>
      <c r="I125" s="2"/>
      <c r="J125" s="2"/>
      <c r="K125" s="2"/>
      <c r="L125" s="2"/>
      <c r="M125" s="2"/>
      <c r="N125" s="2"/>
      <c r="O125" s="2"/>
      <c r="P125" s="2"/>
      <c r="Q125" s="2"/>
      <c r="R125" s="2"/>
      <c r="S125" s="2"/>
      <c r="T125" s="2"/>
      <c r="U125" s="2"/>
      <c r="V125" s="2"/>
      <c r="W125" s="2"/>
      <c r="X125" s="2"/>
      <c r="Y125" s="30"/>
      <c r="Z125" s="30"/>
    </row>
    <row r="126" spans="1:26" x14ac:dyDescent="0.25">
      <c r="A126" s="2"/>
      <c r="B126" s="9"/>
      <c r="C126" s="41" t="s">
        <v>69</v>
      </c>
      <c r="D126" s="41" t="s">
        <v>70</v>
      </c>
      <c r="E126" s="41" t="s">
        <v>59</v>
      </c>
      <c r="F126" s="41" t="s">
        <v>71</v>
      </c>
      <c r="G126" s="41" t="s">
        <v>69</v>
      </c>
      <c r="H126" s="41" t="s">
        <v>62</v>
      </c>
      <c r="I126" s="41" t="s">
        <v>72</v>
      </c>
      <c r="J126" s="41" t="s">
        <v>73</v>
      </c>
      <c r="K126" s="41" t="s">
        <v>74</v>
      </c>
      <c r="L126" s="41" t="s">
        <v>75</v>
      </c>
      <c r="M126" s="41" t="s">
        <v>63</v>
      </c>
      <c r="N126" s="229" t="s">
        <v>17</v>
      </c>
      <c r="O126" s="399" t="s">
        <v>64</v>
      </c>
      <c r="P126" s="399"/>
      <c r="Q126" s="399"/>
      <c r="R126" s="2"/>
      <c r="S126" s="2"/>
      <c r="T126" s="2"/>
      <c r="U126" s="2"/>
      <c r="V126" s="2"/>
      <c r="W126" s="2"/>
      <c r="X126" s="2"/>
      <c r="Y126" s="30"/>
      <c r="Z126" s="30"/>
    </row>
    <row r="127" spans="1:26" x14ac:dyDescent="0.25">
      <c r="A127" s="2"/>
      <c r="B127" s="9"/>
      <c r="C127" s="68"/>
      <c r="D127" s="42" t="str">
        <f>G5</f>
        <v>concrete product</v>
      </c>
      <c r="E127" s="69">
        <f>D5</f>
        <v>1</v>
      </c>
      <c r="F127" s="69"/>
      <c r="G127" s="57">
        <f t="shared" ref="G127:G158" si="9">IF($C127="",1,VLOOKUP($C127,$C$22:$H$95,3,FALSE))</f>
        <v>1</v>
      </c>
      <c r="H127" s="58" t="str">
        <f t="shared" ref="H127:H158" si="10">IF($C127="","",VLOOKUP($C127,$C$22:$H$95,6,FALSE))</f>
        <v/>
      </c>
      <c r="I127" s="339">
        <f>IF(D127="","",E127*G127*$D$5)</f>
        <v>1</v>
      </c>
      <c r="J127" s="69"/>
      <c r="K127" s="60" t="s">
        <v>102</v>
      </c>
      <c r="L127" s="56"/>
      <c r="M127" s="70"/>
      <c r="N127" s="70"/>
      <c r="O127" s="388" t="s">
        <v>81</v>
      </c>
      <c r="P127" s="389"/>
      <c r="Q127" s="390"/>
      <c r="R127" s="2"/>
      <c r="S127" s="2"/>
      <c r="T127" s="2"/>
      <c r="U127" s="2"/>
      <c r="V127" s="2"/>
      <c r="W127" s="2"/>
      <c r="X127" s="2"/>
      <c r="Y127" s="30"/>
      <c r="Z127" s="30"/>
    </row>
    <row r="128" spans="1:26" x14ac:dyDescent="0.25">
      <c r="A128" s="2"/>
      <c r="B128" s="9"/>
      <c r="C128" s="42" t="str">
        <f t="shared" ref="C128:C133" si="11">C26</f>
        <v>CO2_to_air</v>
      </c>
      <c r="D128" s="71" t="s">
        <v>447</v>
      </c>
      <c r="E128" s="69">
        <v>1</v>
      </c>
      <c r="F128" s="69"/>
      <c r="G128" s="57">
        <f t="shared" si="9"/>
        <v>0.21263726320610571</v>
      </c>
      <c r="H128" s="58">
        <f t="shared" si="10"/>
        <v>0</v>
      </c>
      <c r="I128" s="339">
        <f t="shared" ref="I128:I129" si="12">IF(D128="","",E128*G128*$D$5)</f>
        <v>0.21263726320610571</v>
      </c>
      <c r="J128" s="63" t="str">
        <f t="shared" ref="J128:J169" si="13">MID(VLOOKUP(C128,$C$23:$Q$93,8,FALSE),2,2)</f>
        <v>kg</v>
      </c>
      <c r="K128" s="60"/>
      <c r="L128" s="56" t="s">
        <v>101</v>
      </c>
      <c r="M128" s="335" t="s">
        <v>818</v>
      </c>
      <c r="N128" s="61" t="str">
        <f>IF(PS!D15=0,N134,N129)</f>
        <v>1,1,3,1,1</v>
      </c>
      <c r="O128" s="388" t="str">
        <f>IF(RIGHT(C128,3)="air","Emissions to air",IF(RIGHT(C128,3)="wat","Emissions to water","Emissions to soil"))</f>
        <v>Emissions to air</v>
      </c>
      <c r="P128" s="389"/>
      <c r="Q128" s="390"/>
      <c r="R128" s="2"/>
      <c r="S128" s="2"/>
      <c r="T128" s="2"/>
      <c r="U128" s="2"/>
      <c r="V128" s="2"/>
      <c r="W128" s="2"/>
      <c r="X128" s="2"/>
      <c r="Y128" s="30"/>
      <c r="Z128" s="30"/>
    </row>
    <row r="129" spans="1:26" x14ac:dyDescent="0.25">
      <c r="A129" s="2"/>
      <c r="B129" s="9"/>
      <c r="C129" s="42" t="str">
        <f t="shared" si="11"/>
        <v>CFC_to_air</v>
      </c>
      <c r="D129" s="71" t="s">
        <v>836</v>
      </c>
      <c r="E129" s="69">
        <v>1</v>
      </c>
      <c r="F129" s="69"/>
      <c r="G129" s="57">
        <f t="shared" si="9"/>
        <v>0</v>
      </c>
      <c r="H129" s="58">
        <f t="shared" si="10"/>
        <v>0</v>
      </c>
      <c r="I129" s="339">
        <f t="shared" si="12"/>
        <v>0</v>
      </c>
      <c r="J129" s="63" t="str">
        <f t="shared" si="13"/>
        <v>kg</v>
      </c>
      <c r="K129" s="60"/>
      <c r="L129" s="56" t="s">
        <v>106</v>
      </c>
      <c r="M129" s="335">
        <v>2</v>
      </c>
      <c r="N129" s="61" t="s">
        <v>817</v>
      </c>
      <c r="O129" s="388" t="str">
        <f t="shared" ref="O129:O173" si="14">IF(RIGHT(C129,3)="air","Emissions to air",IF(RIGHT(C129,3)="wat","Emissions to water","Emissions to soil"))</f>
        <v>Emissions to air</v>
      </c>
      <c r="P129" s="389"/>
      <c r="Q129" s="390"/>
      <c r="R129" s="2"/>
      <c r="S129" s="2"/>
      <c r="T129" s="2"/>
      <c r="U129" s="2"/>
      <c r="V129" s="2"/>
      <c r="W129" s="2"/>
      <c r="X129" s="2"/>
      <c r="Y129" s="30"/>
      <c r="Z129" s="30"/>
    </row>
    <row r="130" spans="1:26" x14ac:dyDescent="0.25">
      <c r="A130" s="2"/>
      <c r="B130" s="9"/>
      <c r="C130" s="42" t="str">
        <f t="shared" si="11"/>
        <v>DB</v>
      </c>
      <c r="D130" s="188" t="s">
        <v>448</v>
      </c>
      <c r="E130" s="69">
        <v>1</v>
      </c>
      <c r="F130" s="69"/>
      <c r="G130" s="57">
        <f t="shared" si="9"/>
        <v>0</v>
      </c>
      <c r="H130" s="58">
        <f t="shared" si="10"/>
        <v>0</v>
      </c>
      <c r="I130" s="339">
        <f t="shared" ref="I130:I174" si="15">IF(D130="","",E130*G130*$D$5)</f>
        <v>0</v>
      </c>
      <c r="J130" s="63" t="str">
        <f t="shared" si="13"/>
        <v>kg</v>
      </c>
      <c r="K130" s="60"/>
      <c r="L130" s="56" t="s">
        <v>106</v>
      </c>
      <c r="M130" s="335">
        <v>2</v>
      </c>
      <c r="N130" s="61" t="s">
        <v>817</v>
      </c>
      <c r="O130" s="388" t="s">
        <v>835</v>
      </c>
      <c r="P130" s="389"/>
      <c r="Q130" s="390"/>
      <c r="R130" s="2"/>
      <c r="S130" s="2"/>
      <c r="T130" s="2"/>
      <c r="U130" s="2"/>
      <c r="V130" s="2"/>
      <c r="W130" s="2"/>
      <c r="X130" s="2"/>
      <c r="Y130" s="30"/>
      <c r="Z130" s="30"/>
    </row>
    <row r="131" spans="1:26" x14ac:dyDescent="0.25">
      <c r="A131" s="2"/>
      <c r="B131" s="9"/>
      <c r="C131" s="42" t="str">
        <f t="shared" si="11"/>
        <v>C2H4_air</v>
      </c>
      <c r="D131" s="71" t="s">
        <v>449</v>
      </c>
      <c r="E131" s="69">
        <v>1</v>
      </c>
      <c r="F131" s="69"/>
      <c r="G131" s="57">
        <f t="shared" si="9"/>
        <v>0</v>
      </c>
      <c r="H131" s="58">
        <f t="shared" si="10"/>
        <v>0</v>
      </c>
      <c r="I131" s="339">
        <f t="shared" si="15"/>
        <v>0</v>
      </c>
      <c r="J131" s="63" t="str">
        <f t="shared" si="13"/>
        <v>kg</v>
      </c>
      <c r="K131" s="60"/>
      <c r="L131" s="56" t="s">
        <v>106</v>
      </c>
      <c r="M131" s="335">
        <v>2</v>
      </c>
      <c r="N131" s="61" t="s">
        <v>817</v>
      </c>
      <c r="O131" s="388" t="str">
        <f t="shared" si="14"/>
        <v>Emissions to air</v>
      </c>
      <c r="P131" s="389"/>
      <c r="Q131" s="390"/>
      <c r="R131" s="2"/>
      <c r="S131" s="2"/>
      <c r="T131" s="2"/>
      <c r="U131" s="2"/>
      <c r="V131" s="2"/>
      <c r="W131" s="2"/>
      <c r="X131" s="2"/>
      <c r="Y131" s="30"/>
      <c r="Z131" s="30"/>
    </row>
    <row r="132" spans="1:26" x14ac:dyDescent="0.25">
      <c r="A132" s="2"/>
      <c r="B132" s="9"/>
      <c r="C132" s="42" t="str">
        <f t="shared" si="11"/>
        <v>SO2_to_wat</v>
      </c>
      <c r="D132" s="71" t="s">
        <v>450</v>
      </c>
      <c r="E132" s="69">
        <v>1</v>
      </c>
      <c r="F132" s="69"/>
      <c r="G132" s="57">
        <f t="shared" si="9"/>
        <v>0</v>
      </c>
      <c r="H132" s="58">
        <f t="shared" si="10"/>
        <v>0</v>
      </c>
      <c r="I132" s="339">
        <f t="shared" si="15"/>
        <v>0</v>
      </c>
      <c r="J132" s="63" t="str">
        <f t="shared" si="13"/>
        <v>kg</v>
      </c>
      <c r="K132" s="60"/>
      <c r="L132" s="56" t="s">
        <v>106</v>
      </c>
      <c r="M132" s="335">
        <v>2</v>
      </c>
      <c r="N132" s="61" t="s">
        <v>817</v>
      </c>
      <c r="O132" s="388" t="str">
        <f t="shared" si="14"/>
        <v>Emissions to water</v>
      </c>
      <c r="P132" s="389"/>
      <c r="Q132" s="390"/>
      <c r="R132" s="2"/>
      <c r="S132" s="2"/>
      <c r="T132" s="2"/>
      <c r="U132" s="2"/>
      <c r="V132" s="2"/>
      <c r="W132" s="2"/>
      <c r="X132" s="2"/>
      <c r="Y132" s="30"/>
      <c r="Z132" s="30"/>
    </row>
    <row r="133" spans="1:26" x14ac:dyDescent="0.25">
      <c r="A133" s="2"/>
      <c r="B133" s="9"/>
      <c r="C133" s="42" t="str">
        <f t="shared" si="11"/>
        <v>PO4_to_wat</v>
      </c>
      <c r="D133" s="71" t="s">
        <v>451</v>
      </c>
      <c r="E133" s="69">
        <v>1</v>
      </c>
      <c r="F133" s="69"/>
      <c r="G133" s="57">
        <f t="shared" si="9"/>
        <v>0</v>
      </c>
      <c r="H133" s="58">
        <f t="shared" si="10"/>
        <v>0</v>
      </c>
      <c r="I133" s="339">
        <f t="shared" si="15"/>
        <v>0</v>
      </c>
      <c r="J133" s="63" t="str">
        <f t="shared" si="13"/>
        <v>kg</v>
      </c>
      <c r="K133" s="60"/>
      <c r="L133" s="56" t="s">
        <v>106</v>
      </c>
      <c r="M133" s="335">
        <v>2</v>
      </c>
      <c r="N133" s="61" t="s">
        <v>817</v>
      </c>
      <c r="O133" s="388" t="str">
        <f t="shared" si="14"/>
        <v>Emissions to water</v>
      </c>
      <c r="P133" s="389"/>
      <c r="Q133" s="390"/>
      <c r="R133" s="2"/>
      <c r="S133" s="2"/>
      <c r="T133" s="2"/>
      <c r="U133" s="2"/>
      <c r="V133" s="2"/>
      <c r="W133" s="2"/>
      <c r="X133" s="2"/>
      <c r="Y133" s="30"/>
      <c r="Z133" s="30"/>
    </row>
    <row r="134" spans="1:26" x14ac:dyDescent="0.25">
      <c r="A134" s="2"/>
      <c r="B134" s="9"/>
      <c r="C134" s="42" t="str">
        <f t="shared" ref="C134:C173" si="16">C54</f>
        <v>Al_to_wat</v>
      </c>
      <c r="D134" s="72" t="s">
        <v>90</v>
      </c>
      <c r="E134" s="69">
        <v>1</v>
      </c>
      <c r="F134" s="69"/>
      <c r="G134" s="57">
        <f t="shared" si="9"/>
        <v>1.8924430229125078E-7</v>
      </c>
      <c r="H134" s="58">
        <f t="shared" si="10"/>
        <v>0</v>
      </c>
      <c r="I134" s="339">
        <f t="shared" si="15"/>
        <v>1.8924430229125078E-7</v>
      </c>
      <c r="J134" s="63" t="str">
        <f t="shared" si="13"/>
        <v>kg</v>
      </c>
      <c r="K134" s="60"/>
      <c r="L134" s="56" t="s">
        <v>101</v>
      </c>
      <c r="M134" s="335">
        <v>1</v>
      </c>
      <c r="N134" s="61" t="s">
        <v>816</v>
      </c>
      <c r="O134" s="388" t="str">
        <f t="shared" si="14"/>
        <v>Emissions to water</v>
      </c>
      <c r="P134" s="389"/>
      <c r="Q134" s="390"/>
      <c r="R134" s="2"/>
      <c r="S134" s="2"/>
      <c r="T134" s="2"/>
      <c r="U134" s="2"/>
      <c r="V134" s="2"/>
      <c r="W134" s="2"/>
      <c r="X134" s="2"/>
      <c r="Y134" s="30"/>
      <c r="Z134" s="30"/>
    </row>
    <row r="135" spans="1:26" x14ac:dyDescent="0.25">
      <c r="A135" s="2"/>
      <c r="B135" s="9"/>
      <c r="C135" s="42" t="str">
        <f t="shared" si="16"/>
        <v>Amm_to_wat</v>
      </c>
      <c r="D135" s="72" t="s">
        <v>807</v>
      </c>
      <c r="E135" s="69">
        <v>1</v>
      </c>
      <c r="F135" s="69"/>
      <c r="G135" s="57">
        <f t="shared" si="9"/>
        <v>2.0849831681005046E-7</v>
      </c>
      <c r="H135" s="58">
        <f t="shared" si="10"/>
        <v>0</v>
      </c>
      <c r="I135" s="339">
        <f t="shared" si="15"/>
        <v>2.0849831681005046E-7</v>
      </c>
      <c r="J135" s="63" t="str">
        <f t="shared" si="13"/>
        <v>kg</v>
      </c>
      <c r="K135" s="60"/>
      <c r="L135" s="56" t="s">
        <v>101</v>
      </c>
      <c r="M135" s="335">
        <v>1</v>
      </c>
      <c r="N135" s="61" t="s">
        <v>816</v>
      </c>
      <c r="O135" s="388" t="str">
        <f t="shared" si="14"/>
        <v>Emissions to water</v>
      </c>
      <c r="P135" s="389"/>
      <c r="Q135" s="390"/>
      <c r="R135" s="2"/>
      <c r="S135" s="2"/>
      <c r="T135" s="2"/>
      <c r="U135" s="2"/>
      <c r="V135" s="2"/>
      <c r="W135" s="2"/>
      <c r="X135" s="2"/>
      <c r="Y135" s="30"/>
      <c r="Z135" s="30"/>
    </row>
    <row r="136" spans="1:26" x14ac:dyDescent="0.25">
      <c r="A136" s="2"/>
      <c r="B136" s="9"/>
      <c r="C136" s="42" t="str">
        <f t="shared" si="16"/>
        <v>chlor_wat</v>
      </c>
      <c r="D136" s="72" t="s">
        <v>247</v>
      </c>
      <c r="E136" s="69">
        <v>1</v>
      </c>
      <c r="F136" s="69"/>
      <c r="G136" s="57">
        <f t="shared" si="9"/>
        <v>1.5990314034892649E-4</v>
      </c>
      <c r="H136" s="58">
        <f t="shared" si="10"/>
        <v>0</v>
      </c>
      <c r="I136" s="339">
        <f t="shared" si="15"/>
        <v>1.5990314034892649E-4</v>
      </c>
      <c r="J136" s="63" t="str">
        <f t="shared" si="13"/>
        <v>kg</v>
      </c>
      <c r="K136" s="60"/>
      <c r="L136" s="56" t="s">
        <v>101</v>
      </c>
      <c r="M136" s="335">
        <v>1</v>
      </c>
      <c r="N136" s="61" t="s">
        <v>816</v>
      </c>
      <c r="O136" s="388" t="str">
        <f t="shared" si="14"/>
        <v>Emissions to water</v>
      </c>
      <c r="P136" s="389"/>
      <c r="Q136" s="390"/>
      <c r="R136" s="2"/>
      <c r="S136" s="2"/>
      <c r="T136" s="2"/>
      <c r="U136" s="2"/>
      <c r="V136" s="2"/>
      <c r="W136" s="2"/>
      <c r="X136" s="2"/>
      <c r="Y136" s="30"/>
      <c r="Z136" s="30"/>
    </row>
    <row r="137" spans="1:26" x14ac:dyDescent="0.25">
      <c r="A137" s="2"/>
      <c r="B137" s="9"/>
      <c r="C137" s="42" t="str">
        <f t="shared" si="16"/>
        <v>DOC_to_wat</v>
      </c>
      <c r="D137" s="72" t="s">
        <v>248</v>
      </c>
      <c r="E137" s="69">
        <v>1</v>
      </c>
      <c r="F137" s="69"/>
      <c r="G137" s="57">
        <f t="shared" si="9"/>
        <v>3.0299216715071059E-6</v>
      </c>
      <c r="H137" s="58">
        <f t="shared" si="10"/>
        <v>0</v>
      </c>
      <c r="I137" s="339">
        <f t="shared" si="15"/>
        <v>3.0299216715071059E-6</v>
      </c>
      <c r="J137" s="63" t="str">
        <f t="shared" si="13"/>
        <v>kg</v>
      </c>
      <c r="K137" s="60"/>
      <c r="L137" s="56" t="s">
        <v>101</v>
      </c>
      <c r="M137" s="335">
        <v>1</v>
      </c>
      <c r="N137" s="61" t="s">
        <v>816</v>
      </c>
      <c r="O137" s="388" t="str">
        <f t="shared" si="14"/>
        <v>Emissions to water</v>
      </c>
      <c r="P137" s="389"/>
      <c r="Q137" s="390"/>
      <c r="R137" s="2"/>
      <c r="S137" s="2"/>
      <c r="T137" s="2"/>
      <c r="U137" s="2"/>
      <c r="V137" s="2"/>
      <c r="W137" s="2"/>
      <c r="X137" s="2"/>
      <c r="Y137" s="30"/>
      <c r="Z137" s="30"/>
    </row>
    <row r="138" spans="1:26" x14ac:dyDescent="0.25">
      <c r="A138" s="2"/>
      <c r="B138" s="9"/>
      <c r="C138" s="42" t="str">
        <f t="shared" si="16"/>
        <v>Nit_to_wat</v>
      </c>
      <c r="D138" s="71" t="s">
        <v>809</v>
      </c>
      <c r="E138" s="69">
        <v>1</v>
      </c>
      <c r="F138" s="69"/>
      <c r="G138" s="57">
        <f t="shared" si="9"/>
        <v>1.2958520547731506E-6</v>
      </c>
      <c r="H138" s="58">
        <f t="shared" si="10"/>
        <v>0</v>
      </c>
      <c r="I138" s="339">
        <f t="shared" si="15"/>
        <v>1.2958520547731506E-6</v>
      </c>
      <c r="J138" s="63" t="str">
        <f t="shared" si="13"/>
        <v>kg</v>
      </c>
      <c r="K138" s="60"/>
      <c r="L138" s="56" t="s">
        <v>101</v>
      </c>
      <c r="M138" s="335">
        <v>1</v>
      </c>
      <c r="N138" s="61" t="s">
        <v>816</v>
      </c>
      <c r="O138" s="388" t="str">
        <f t="shared" si="14"/>
        <v>Emissions to water</v>
      </c>
      <c r="P138" s="389"/>
      <c r="Q138" s="390"/>
      <c r="R138" s="2"/>
      <c r="S138" s="2"/>
      <c r="T138" s="2"/>
      <c r="U138" s="2"/>
      <c r="V138" s="2"/>
      <c r="W138" s="2"/>
      <c r="X138" s="2"/>
      <c r="Y138" s="30"/>
      <c r="Z138" s="30"/>
    </row>
    <row r="139" spans="1:26" x14ac:dyDescent="0.25">
      <c r="A139" s="2"/>
      <c r="B139" s="9"/>
      <c r="C139" s="42" t="str">
        <f t="shared" si="16"/>
        <v>oil_to_wat</v>
      </c>
      <c r="D139" s="72" t="s">
        <v>249</v>
      </c>
      <c r="E139" s="69">
        <v>1</v>
      </c>
      <c r="F139" s="69"/>
      <c r="G139" s="57">
        <f t="shared" si="9"/>
        <v>1.6540798526717015E-6</v>
      </c>
      <c r="H139" s="58">
        <f t="shared" si="10"/>
        <v>0</v>
      </c>
      <c r="I139" s="339">
        <f t="shared" si="15"/>
        <v>1.6540798526717015E-6</v>
      </c>
      <c r="J139" s="63" t="str">
        <f t="shared" si="13"/>
        <v>kg</v>
      </c>
      <c r="K139" s="60"/>
      <c r="L139" s="56" t="s">
        <v>101</v>
      </c>
      <c r="M139" s="335">
        <v>1</v>
      </c>
      <c r="N139" s="61" t="s">
        <v>816</v>
      </c>
      <c r="O139" s="388" t="str">
        <f t="shared" si="14"/>
        <v>Emissions to water</v>
      </c>
      <c r="P139" s="389"/>
      <c r="Q139" s="390"/>
      <c r="R139" s="2"/>
      <c r="S139" s="2"/>
      <c r="T139" s="2"/>
      <c r="U139" s="2"/>
      <c r="V139" s="2"/>
      <c r="W139" s="2"/>
      <c r="X139" s="2"/>
      <c r="Y139" s="30"/>
      <c r="Z139" s="30"/>
    </row>
    <row r="140" spans="1:26" x14ac:dyDescent="0.25">
      <c r="A140" s="2"/>
      <c r="B140" s="9"/>
      <c r="C140" s="42" t="str">
        <f t="shared" si="16"/>
        <v>phen_wat</v>
      </c>
      <c r="D140" s="331" t="s">
        <v>812</v>
      </c>
      <c r="E140" s="69">
        <v>1</v>
      </c>
      <c r="F140" s="69"/>
      <c r="G140" s="57">
        <f t="shared" si="9"/>
        <v>4.8481031784452238E-9</v>
      </c>
      <c r="H140" s="58">
        <f t="shared" si="10"/>
        <v>0</v>
      </c>
      <c r="I140" s="339">
        <f t="shared" si="15"/>
        <v>4.8481031784452238E-9</v>
      </c>
      <c r="J140" s="63" t="str">
        <f t="shared" si="13"/>
        <v>kg</v>
      </c>
      <c r="K140" s="60"/>
      <c r="L140" s="56" t="s">
        <v>101</v>
      </c>
      <c r="M140" s="335">
        <v>1</v>
      </c>
      <c r="N140" s="61" t="s">
        <v>816</v>
      </c>
      <c r="O140" s="388" t="str">
        <f t="shared" si="14"/>
        <v>Emissions to water</v>
      </c>
      <c r="P140" s="389"/>
      <c r="Q140" s="390"/>
      <c r="R140" s="2"/>
      <c r="S140" s="2"/>
      <c r="T140" s="2"/>
      <c r="U140" s="2"/>
      <c r="V140" s="2"/>
      <c r="W140" s="2"/>
      <c r="X140" s="2"/>
      <c r="Y140" s="30"/>
      <c r="Z140" s="30"/>
    </row>
    <row r="141" spans="1:26" x14ac:dyDescent="0.25">
      <c r="A141" s="2"/>
      <c r="B141" s="9"/>
      <c r="C141" s="42" t="str">
        <f t="shared" si="16"/>
        <v>P_to_wat</v>
      </c>
      <c r="D141" s="72" t="s">
        <v>808</v>
      </c>
      <c r="E141" s="69">
        <v>1</v>
      </c>
      <c r="F141" s="69"/>
      <c r="G141" s="57">
        <f t="shared" si="9"/>
        <v>1.2121490214572046E-9</v>
      </c>
      <c r="H141" s="58">
        <f t="shared" si="10"/>
        <v>0</v>
      </c>
      <c r="I141" s="339">
        <f t="shared" si="15"/>
        <v>1.2121490214572046E-9</v>
      </c>
      <c r="J141" s="63" t="str">
        <f t="shared" si="13"/>
        <v>kg</v>
      </c>
      <c r="K141" s="60"/>
      <c r="L141" s="56" t="s">
        <v>101</v>
      </c>
      <c r="M141" s="335">
        <v>1</v>
      </c>
      <c r="N141" s="61" t="s">
        <v>816</v>
      </c>
      <c r="O141" s="388" t="str">
        <f t="shared" si="14"/>
        <v>Emissions to water</v>
      </c>
      <c r="P141" s="389"/>
      <c r="Q141" s="390"/>
      <c r="R141" s="2"/>
      <c r="S141" s="2"/>
      <c r="T141" s="2"/>
      <c r="U141" s="2"/>
      <c r="V141" s="2"/>
      <c r="W141" s="2"/>
      <c r="X141" s="2"/>
      <c r="Y141" s="30"/>
      <c r="Z141" s="30"/>
    </row>
    <row r="142" spans="1:26" x14ac:dyDescent="0.25">
      <c r="A142" s="2"/>
      <c r="B142" s="9"/>
      <c r="C142" s="42" t="str">
        <f t="shared" si="16"/>
        <v>S_ate_wat</v>
      </c>
      <c r="D142" s="71" t="s">
        <v>810</v>
      </c>
      <c r="E142" s="69">
        <v>1</v>
      </c>
      <c r="F142" s="69"/>
      <c r="G142" s="57">
        <f t="shared" si="9"/>
        <v>1.3533759689317616E-4</v>
      </c>
      <c r="H142" s="58">
        <f t="shared" si="10"/>
        <v>0</v>
      </c>
      <c r="I142" s="339">
        <f t="shared" si="15"/>
        <v>1.3533759689317616E-4</v>
      </c>
      <c r="J142" s="63" t="str">
        <f t="shared" si="13"/>
        <v>kg</v>
      </c>
      <c r="K142" s="60"/>
      <c r="L142" s="56" t="s">
        <v>101</v>
      </c>
      <c r="M142" s="335">
        <v>1</v>
      </c>
      <c r="N142" s="61" t="s">
        <v>816</v>
      </c>
      <c r="O142" s="388" t="str">
        <f t="shared" si="14"/>
        <v>Emissions to water</v>
      </c>
      <c r="P142" s="389"/>
      <c r="Q142" s="390"/>
      <c r="R142" s="2"/>
      <c r="S142" s="2"/>
      <c r="T142" s="2"/>
      <c r="U142" s="2"/>
      <c r="V142" s="2"/>
      <c r="W142" s="2"/>
      <c r="X142" s="2"/>
      <c r="Y142" s="30"/>
      <c r="Z142" s="30"/>
    </row>
    <row r="143" spans="1:26" x14ac:dyDescent="0.25">
      <c r="A143" s="2"/>
      <c r="B143" s="9"/>
      <c r="C143" s="42" t="str">
        <f t="shared" si="16"/>
        <v>S_ide_wat</v>
      </c>
      <c r="D143" s="71" t="s">
        <v>811</v>
      </c>
      <c r="E143" s="69">
        <v>1</v>
      </c>
      <c r="F143" s="69"/>
      <c r="G143" s="57">
        <f t="shared" si="9"/>
        <v>1.4545903439552623E-8</v>
      </c>
      <c r="H143" s="58">
        <f t="shared" si="10"/>
        <v>0</v>
      </c>
      <c r="I143" s="339">
        <f t="shared" si="15"/>
        <v>1.4545903439552623E-8</v>
      </c>
      <c r="J143" s="63" t="str">
        <f t="shared" si="13"/>
        <v>kg</v>
      </c>
      <c r="K143" s="60"/>
      <c r="L143" s="56" t="s">
        <v>101</v>
      </c>
      <c r="M143" s="335">
        <v>1</v>
      </c>
      <c r="N143" s="61" t="s">
        <v>816</v>
      </c>
      <c r="O143" s="388" t="str">
        <f t="shared" si="14"/>
        <v>Emissions to water</v>
      </c>
      <c r="P143" s="389"/>
      <c r="Q143" s="390"/>
      <c r="R143" s="2"/>
      <c r="S143" s="2"/>
      <c r="T143" s="2"/>
      <c r="U143" s="2"/>
      <c r="V143" s="2"/>
      <c r="W143" s="2"/>
      <c r="X143" s="2"/>
      <c r="Y143" s="30"/>
      <c r="Z143" s="30"/>
    </row>
    <row r="144" spans="1:26" x14ac:dyDescent="0.25">
      <c r="A144" s="2"/>
      <c r="B144" s="9"/>
      <c r="C144" s="42" t="str">
        <f t="shared" si="16"/>
        <v>SS_to_wat</v>
      </c>
      <c r="D144" s="72" t="s">
        <v>250</v>
      </c>
      <c r="E144" s="69">
        <v>1</v>
      </c>
      <c r="F144" s="69"/>
      <c r="G144" s="57">
        <f t="shared" si="9"/>
        <v>5.150540789435069E-5</v>
      </c>
      <c r="H144" s="58">
        <f t="shared" si="10"/>
        <v>0</v>
      </c>
      <c r="I144" s="339">
        <f t="shared" si="15"/>
        <v>5.150540789435069E-5</v>
      </c>
      <c r="J144" s="63" t="str">
        <f t="shared" si="13"/>
        <v>kg</v>
      </c>
      <c r="K144" s="60"/>
      <c r="L144" s="56" t="s">
        <v>101</v>
      </c>
      <c r="M144" s="335">
        <v>1</v>
      </c>
      <c r="N144" s="61" t="s">
        <v>816</v>
      </c>
      <c r="O144" s="388" t="str">
        <f t="shared" si="14"/>
        <v>Emissions to water</v>
      </c>
      <c r="P144" s="389"/>
      <c r="Q144" s="390"/>
      <c r="R144" s="2"/>
      <c r="S144" s="2"/>
      <c r="T144" s="2"/>
      <c r="U144" s="2"/>
      <c r="V144" s="2"/>
      <c r="W144" s="2"/>
      <c r="X144" s="2"/>
      <c r="Y144" s="30"/>
      <c r="Z144" s="30"/>
    </row>
    <row r="145" spans="1:26" x14ac:dyDescent="0.25">
      <c r="A145" s="2"/>
      <c r="B145" s="9"/>
      <c r="C145" s="42" t="str">
        <f t="shared" si="16"/>
        <v>water_out</v>
      </c>
      <c r="D145" s="73" t="s">
        <v>92</v>
      </c>
      <c r="E145" s="69">
        <v>1</v>
      </c>
      <c r="F145" s="69"/>
      <c r="G145" s="57">
        <f t="shared" si="9"/>
        <v>1.0203273933257675</v>
      </c>
      <c r="H145" s="58">
        <f t="shared" si="10"/>
        <v>0</v>
      </c>
      <c r="I145" s="339">
        <f t="shared" si="15"/>
        <v>1.0203273933257675</v>
      </c>
      <c r="J145" s="63" t="str">
        <f t="shared" si="13"/>
        <v>kg</v>
      </c>
      <c r="K145" s="60"/>
      <c r="L145" s="56" t="s">
        <v>101</v>
      </c>
      <c r="M145" s="335">
        <v>1</v>
      </c>
      <c r="N145" s="61" t="s">
        <v>816</v>
      </c>
      <c r="O145" s="388" t="s">
        <v>803</v>
      </c>
      <c r="P145" s="389"/>
      <c r="Q145" s="390"/>
      <c r="R145" s="2"/>
      <c r="S145" s="2"/>
      <c r="T145" s="2"/>
      <c r="U145" s="2"/>
      <c r="V145" s="2"/>
      <c r="W145" s="2"/>
      <c r="X145" s="2"/>
      <c r="Y145" s="30"/>
      <c r="Z145" s="30"/>
    </row>
    <row r="146" spans="1:26" x14ac:dyDescent="0.25">
      <c r="A146" s="2"/>
      <c r="B146" s="9"/>
      <c r="C146" s="42" t="str">
        <f t="shared" si="16"/>
        <v>Zn_to_wat</v>
      </c>
      <c r="D146" s="150" t="s">
        <v>813</v>
      </c>
      <c r="E146" s="69">
        <v>1</v>
      </c>
      <c r="F146" s="69"/>
      <c r="G146" s="57">
        <f t="shared" si="9"/>
        <v>7.2775810388201812E-9</v>
      </c>
      <c r="H146" s="58">
        <f t="shared" si="10"/>
        <v>0</v>
      </c>
      <c r="I146" s="339">
        <f t="shared" si="15"/>
        <v>7.2775810388201812E-9</v>
      </c>
      <c r="J146" s="63" t="str">
        <f t="shared" si="13"/>
        <v>kg</v>
      </c>
      <c r="K146" s="60"/>
      <c r="L146" s="56" t="s">
        <v>101</v>
      </c>
      <c r="M146" s="335">
        <v>1</v>
      </c>
      <c r="N146" s="61" t="s">
        <v>816</v>
      </c>
      <c r="O146" s="388" t="str">
        <f t="shared" si="14"/>
        <v>Emissions to water</v>
      </c>
      <c r="P146" s="389"/>
      <c r="Q146" s="390"/>
      <c r="R146" s="2"/>
      <c r="S146" s="2"/>
      <c r="T146" s="2"/>
      <c r="U146" s="2"/>
      <c r="V146" s="2"/>
      <c r="W146" s="2"/>
      <c r="X146" s="2"/>
      <c r="Y146" s="30"/>
      <c r="Z146" s="30"/>
    </row>
    <row r="147" spans="1:26" x14ac:dyDescent="0.25">
      <c r="A147" s="2"/>
      <c r="B147" s="9"/>
      <c r="C147" s="42" t="str">
        <f t="shared" si="16"/>
        <v>NH3_to_air</v>
      </c>
      <c r="D147" s="71" t="s">
        <v>88</v>
      </c>
      <c r="E147" s="69">
        <v>1</v>
      </c>
      <c r="F147" s="69"/>
      <c r="G147" s="57">
        <f t="shared" si="9"/>
        <v>1.1951388616587626E-6</v>
      </c>
      <c r="H147" s="58">
        <f t="shared" si="10"/>
        <v>0</v>
      </c>
      <c r="I147" s="339">
        <f t="shared" si="15"/>
        <v>1.1951388616587626E-6</v>
      </c>
      <c r="J147" s="63" t="str">
        <f t="shared" si="13"/>
        <v>kg</v>
      </c>
      <c r="K147" s="60"/>
      <c r="L147" s="56" t="s">
        <v>101</v>
      </c>
      <c r="M147" s="335">
        <v>1</v>
      </c>
      <c r="N147" s="61" t="s">
        <v>816</v>
      </c>
      <c r="O147" s="388" t="str">
        <f t="shared" si="14"/>
        <v>Emissions to air</v>
      </c>
      <c r="P147" s="389"/>
      <c r="Q147" s="390"/>
      <c r="R147" s="2"/>
      <c r="S147" s="2"/>
      <c r="T147" s="2"/>
      <c r="U147" s="2"/>
      <c r="V147" s="2"/>
      <c r="W147" s="2"/>
      <c r="X147" s="2"/>
      <c r="Y147" s="30"/>
      <c r="Z147" s="30"/>
    </row>
    <row r="148" spans="1:26" x14ac:dyDescent="0.25">
      <c r="A148" s="2"/>
      <c r="B148" s="9"/>
      <c r="C148" s="42" t="str">
        <f t="shared" si="16"/>
        <v>CO_to_air</v>
      </c>
      <c r="D148" s="72" t="s">
        <v>84</v>
      </c>
      <c r="E148" s="69">
        <v>1</v>
      </c>
      <c r="F148" s="69"/>
      <c r="G148" s="57">
        <f t="shared" si="9"/>
        <v>2.8440245956187147E-4</v>
      </c>
      <c r="H148" s="58">
        <f t="shared" si="10"/>
        <v>0</v>
      </c>
      <c r="I148" s="339">
        <f t="shared" si="15"/>
        <v>2.8440245956187147E-4</v>
      </c>
      <c r="J148" s="63" t="str">
        <f t="shared" si="13"/>
        <v>kg</v>
      </c>
      <c r="K148" s="60"/>
      <c r="L148" s="56" t="s">
        <v>101</v>
      </c>
      <c r="M148" s="335">
        <v>1</v>
      </c>
      <c r="N148" s="61" t="s">
        <v>816</v>
      </c>
      <c r="O148" s="388" t="str">
        <f t="shared" si="14"/>
        <v>Emissions to air</v>
      </c>
      <c r="P148" s="389"/>
      <c r="Q148" s="390"/>
      <c r="R148" s="2"/>
      <c r="S148" s="2"/>
      <c r="T148" s="2"/>
      <c r="U148" s="2"/>
      <c r="V148" s="2"/>
      <c r="W148" s="2"/>
      <c r="X148" s="2"/>
      <c r="Y148" s="30"/>
      <c r="Z148" s="30"/>
    </row>
    <row r="149" spans="1:26" x14ac:dyDescent="0.25">
      <c r="A149" s="2"/>
      <c r="B149" s="9"/>
      <c r="C149" s="42" t="str">
        <f t="shared" si="16"/>
        <v>HCl_to_air</v>
      </c>
      <c r="D149" s="71" t="s">
        <v>89</v>
      </c>
      <c r="E149" s="69">
        <v>1</v>
      </c>
      <c r="F149" s="69"/>
      <c r="G149" s="57">
        <f t="shared" si="9"/>
        <v>1.6099187235994913E-5</v>
      </c>
      <c r="H149" s="58">
        <f t="shared" si="10"/>
        <v>0</v>
      </c>
      <c r="I149" s="339">
        <f t="shared" si="15"/>
        <v>1.6099187235994913E-5</v>
      </c>
      <c r="J149" s="63" t="str">
        <f t="shared" si="13"/>
        <v>kg</v>
      </c>
      <c r="K149" s="60"/>
      <c r="L149" s="56" t="s">
        <v>101</v>
      </c>
      <c r="M149" s="335">
        <v>1</v>
      </c>
      <c r="N149" s="61" t="s">
        <v>816</v>
      </c>
      <c r="O149" s="388" t="str">
        <f t="shared" si="14"/>
        <v>Emissions to air</v>
      </c>
      <c r="P149" s="389"/>
      <c r="Q149" s="390"/>
      <c r="R149" s="2"/>
      <c r="S149" s="2"/>
      <c r="T149" s="2"/>
      <c r="U149" s="2"/>
      <c r="V149" s="2"/>
      <c r="W149" s="2"/>
      <c r="X149" s="2"/>
      <c r="Y149" s="30"/>
      <c r="Z149" s="30"/>
    </row>
    <row r="150" spans="1:26" x14ac:dyDescent="0.25">
      <c r="A150" s="2"/>
      <c r="B150" s="9"/>
      <c r="C150" s="42" t="str">
        <f t="shared" si="16"/>
        <v>Hg_to_air</v>
      </c>
      <c r="D150" s="71" t="s">
        <v>87</v>
      </c>
      <c r="E150" s="69">
        <v>1</v>
      </c>
      <c r="F150" s="69"/>
      <c r="G150" s="57">
        <f t="shared" si="9"/>
        <v>1.3419830637071923E-8</v>
      </c>
      <c r="H150" s="58">
        <f t="shared" si="10"/>
        <v>0</v>
      </c>
      <c r="I150" s="339">
        <f t="shared" si="15"/>
        <v>1.3419830637071923E-8</v>
      </c>
      <c r="J150" s="63" t="str">
        <f t="shared" si="13"/>
        <v>kg</v>
      </c>
      <c r="K150" s="60"/>
      <c r="L150" s="56" t="s">
        <v>101</v>
      </c>
      <c r="M150" s="335">
        <v>1</v>
      </c>
      <c r="N150" s="61" t="s">
        <v>816</v>
      </c>
      <c r="O150" s="388" t="str">
        <f t="shared" si="14"/>
        <v>Emissions to air</v>
      </c>
      <c r="P150" s="389"/>
      <c r="Q150" s="390"/>
      <c r="R150" s="2"/>
      <c r="S150" s="2"/>
      <c r="T150" s="2"/>
      <c r="U150" s="2"/>
      <c r="V150" s="2"/>
      <c r="W150" s="2"/>
      <c r="X150" s="2"/>
      <c r="Y150" s="30"/>
      <c r="Z150" s="30"/>
    </row>
    <row r="151" spans="1:26" x14ac:dyDescent="0.25">
      <c r="A151" s="2"/>
      <c r="B151" s="9"/>
      <c r="C151" s="42" t="str">
        <f t="shared" si="16"/>
        <v>CH4_to_air</v>
      </c>
      <c r="D151" s="71" t="s">
        <v>83</v>
      </c>
      <c r="E151" s="69">
        <v>1</v>
      </c>
      <c r="F151" s="69"/>
      <c r="G151" s="57">
        <f t="shared" si="9"/>
        <v>8.5677994402339378E-6</v>
      </c>
      <c r="H151" s="58">
        <f t="shared" si="10"/>
        <v>0</v>
      </c>
      <c r="I151" s="339">
        <f t="shared" si="15"/>
        <v>8.5677994402339378E-6</v>
      </c>
      <c r="J151" s="63" t="str">
        <f t="shared" si="13"/>
        <v>kg</v>
      </c>
      <c r="K151" s="60"/>
      <c r="L151" s="56" t="s">
        <v>101</v>
      </c>
      <c r="M151" s="335">
        <v>1</v>
      </c>
      <c r="N151" s="61" t="s">
        <v>816</v>
      </c>
      <c r="O151" s="388" t="str">
        <f t="shared" si="14"/>
        <v>Emissions to air</v>
      </c>
      <c r="P151" s="389"/>
      <c r="Q151" s="390"/>
      <c r="R151" s="2"/>
      <c r="S151" s="2"/>
      <c r="T151" s="2"/>
      <c r="U151" s="2"/>
      <c r="V151" s="2"/>
      <c r="W151" s="2"/>
      <c r="X151" s="2"/>
      <c r="Y151" s="30"/>
      <c r="Z151" s="30"/>
    </row>
    <row r="152" spans="1:26" x14ac:dyDescent="0.25">
      <c r="A152" s="2"/>
      <c r="B152" s="9"/>
      <c r="C152" s="42" t="str">
        <f t="shared" si="16"/>
        <v>NOx_to_air</v>
      </c>
      <c r="D152" s="71" t="s">
        <v>805</v>
      </c>
      <c r="E152" s="69">
        <v>1</v>
      </c>
      <c r="F152" s="69"/>
      <c r="G152" s="57">
        <f t="shared" si="9"/>
        <v>5.2834826698880443E-4</v>
      </c>
      <c r="H152" s="58">
        <f t="shared" si="10"/>
        <v>0</v>
      </c>
      <c r="I152" s="339">
        <f t="shared" si="15"/>
        <v>5.2834826698880443E-4</v>
      </c>
      <c r="J152" s="63" t="str">
        <f t="shared" si="13"/>
        <v>kg</v>
      </c>
      <c r="K152" s="60"/>
      <c r="L152" s="56" t="s">
        <v>101</v>
      </c>
      <c r="M152" s="335">
        <v>1</v>
      </c>
      <c r="N152" s="61" t="s">
        <v>816</v>
      </c>
      <c r="O152" s="388" t="str">
        <f t="shared" si="14"/>
        <v>Emissions to air</v>
      </c>
      <c r="P152" s="389"/>
      <c r="Q152" s="390"/>
      <c r="R152" s="2"/>
      <c r="S152" s="2"/>
      <c r="T152" s="2"/>
      <c r="U152" s="2"/>
      <c r="V152" s="2"/>
      <c r="W152" s="2"/>
      <c r="X152" s="2"/>
      <c r="Y152" s="30"/>
      <c r="Z152" s="30"/>
    </row>
    <row r="153" spans="1:26" x14ac:dyDescent="0.25">
      <c r="A153" s="2"/>
      <c r="B153" s="9"/>
      <c r="C153" s="42" t="str">
        <f t="shared" si="16"/>
        <v>PM_to_air</v>
      </c>
      <c r="D153" s="71" t="s">
        <v>86</v>
      </c>
      <c r="E153" s="69">
        <v>1</v>
      </c>
      <c r="F153" s="69"/>
      <c r="G153" s="57">
        <f t="shared" si="9"/>
        <v>7.049540137179848E-4</v>
      </c>
      <c r="H153" s="58">
        <f t="shared" si="10"/>
        <v>0</v>
      </c>
      <c r="I153" s="339">
        <f t="shared" si="15"/>
        <v>7.049540137179848E-4</v>
      </c>
      <c r="J153" s="63" t="str">
        <f t="shared" si="13"/>
        <v>kg</v>
      </c>
      <c r="K153" s="60"/>
      <c r="L153" s="56" t="s">
        <v>101</v>
      </c>
      <c r="M153" s="335">
        <v>1</v>
      </c>
      <c r="N153" s="61" t="s">
        <v>816</v>
      </c>
      <c r="O153" s="388" t="str">
        <f t="shared" si="14"/>
        <v>Emissions to air</v>
      </c>
      <c r="P153" s="389"/>
      <c r="Q153" s="390"/>
      <c r="R153" s="2"/>
      <c r="S153" s="2"/>
      <c r="T153" s="2"/>
      <c r="U153" s="2"/>
      <c r="V153" s="2"/>
      <c r="W153" s="2"/>
      <c r="X153" s="2"/>
      <c r="Y153" s="30"/>
      <c r="Z153" s="30"/>
    </row>
    <row r="154" spans="1:26" x14ac:dyDescent="0.25">
      <c r="A154" s="2"/>
      <c r="B154" s="9"/>
      <c r="C154" s="42" t="str">
        <f t="shared" si="16"/>
        <v>SO2_to_air</v>
      </c>
      <c r="D154" s="72" t="s">
        <v>806</v>
      </c>
      <c r="E154" s="69">
        <v>1</v>
      </c>
      <c r="F154" s="69"/>
      <c r="G154" s="57">
        <f t="shared" si="9"/>
        <v>2.8403049665019173E-4</v>
      </c>
      <c r="H154" s="58">
        <f t="shared" si="10"/>
        <v>0</v>
      </c>
      <c r="I154" s="339">
        <f t="shared" si="15"/>
        <v>2.8403049665019173E-4</v>
      </c>
      <c r="J154" s="63" t="str">
        <f t="shared" si="13"/>
        <v>kg</v>
      </c>
      <c r="K154" s="60"/>
      <c r="L154" s="56" t="s">
        <v>101</v>
      </c>
      <c r="M154" s="335">
        <v>1</v>
      </c>
      <c r="N154" s="61" t="s">
        <v>816</v>
      </c>
      <c r="O154" s="388" t="str">
        <f t="shared" si="14"/>
        <v>Emissions to air</v>
      </c>
      <c r="P154" s="389"/>
      <c r="Q154" s="390"/>
      <c r="R154" s="2"/>
      <c r="S154" s="2"/>
      <c r="T154" s="2"/>
      <c r="U154" s="2"/>
      <c r="V154" s="2"/>
      <c r="W154" s="2"/>
      <c r="X154" s="2"/>
      <c r="Y154" s="30"/>
      <c r="Z154" s="30"/>
    </row>
    <row r="155" spans="1:26" x14ac:dyDescent="0.25">
      <c r="A155" s="2"/>
      <c r="B155" s="9"/>
      <c r="C155" s="42" t="str">
        <f t="shared" si="16"/>
        <v>NMVOC_air</v>
      </c>
      <c r="D155" s="72" t="s">
        <v>85</v>
      </c>
      <c r="E155" s="69">
        <v>1</v>
      </c>
      <c r="F155" s="69"/>
      <c r="G155" s="57">
        <f t="shared" si="9"/>
        <v>6.6638318284737662E-6</v>
      </c>
      <c r="H155" s="58">
        <f t="shared" si="10"/>
        <v>0</v>
      </c>
      <c r="I155" s="339">
        <f t="shared" si="15"/>
        <v>6.6638318284737662E-6</v>
      </c>
      <c r="J155" s="63" t="str">
        <f t="shared" si="13"/>
        <v>kg</v>
      </c>
      <c r="K155" s="60"/>
      <c r="L155" s="56" t="s">
        <v>101</v>
      </c>
      <c r="M155" s="335">
        <v>1</v>
      </c>
      <c r="N155" s="61" t="s">
        <v>816</v>
      </c>
      <c r="O155" s="388" t="str">
        <f t="shared" si="14"/>
        <v>Emissions to air</v>
      </c>
      <c r="P155" s="389"/>
      <c r="Q155" s="390"/>
      <c r="R155" s="2"/>
      <c r="S155" s="2"/>
      <c r="T155" s="2"/>
      <c r="U155" s="2"/>
      <c r="V155" s="2"/>
      <c r="W155" s="2"/>
      <c r="X155" s="2"/>
      <c r="Y155" s="30"/>
      <c r="Z155" s="30"/>
    </row>
    <row r="156" spans="1:26" x14ac:dyDescent="0.25">
      <c r="A156" s="2"/>
      <c r="B156" s="9"/>
      <c r="C156" s="42" t="str">
        <f t="shared" si="16"/>
        <v>solidwaste</v>
      </c>
      <c r="D156" s="328" t="s">
        <v>93</v>
      </c>
      <c r="E156" s="69">
        <v>1</v>
      </c>
      <c r="F156" s="69"/>
      <c r="G156" s="57">
        <f t="shared" si="9"/>
        <v>4.1133556469074829E-2</v>
      </c>
      <c r="H156" s="58">
        <f t="shared" si="10"/>
        <v>0</v>
      </c>
      <c r="I156" s="339">
        <f t="shared" si="15"/>
        <v>4.1133556469074829E-2</v>
      </c>
      <c r="J156" s="63" t="str">
        <f t="shared" si="13"/>
        <v>kg</v>
      </c>
      <c r="K156" s="60" t="s">
        <v>107</v>
      </c>
      <c r="L156" s="56" t="s">
        <v>101</v>
      </c>
      <c r="M156" s="335">
        <v>1</v>
      </c>
      <c r="N156" s="61" t="s">
        <v>816</v>
      </c>
      <c r="O156" s="388" t="s">
        <v>804</v>
      </c>
      <c r="P156" s="389"/>
      <c r="Q156" s="390"/>
      <c r="R156" s="2"/>
      <c r="S156" s="2"/>
      <c r="T156" s="2"/>
      <c r="U156" s="2"/>
      <c r="V156" s="2"/>
      <c r="W156" s="2"/>
      <c r="X156" s="2"/>
      <c r="Y156" s="30"/>
      <c r="Z156" s="30"/>
    </row>
    <row r="157" spans="1:26" x14ac:dyDescent="0.25">
      <c r="A157" s="2"/>
      <c r="B157" s="9"/>
      <c r="C157" s="42" t="str">
        <f t="shared" si="16"/>
        <v>cu_to_wat</v>
      </c>
      <c r="D157" s="71" t="s">
        <v>344</v>
      </c>
      <c r="E157" s="69">
        <v>1</v>
      </c>
      <c r="F157" s="69"/>
      <c r="G157" s="57">
        <f t="shared" si="9"/>
        <v>5.1447831139022238E-12</v>
      </c>
      <c r="H157" s="58">
        <f t="shared" si="10"/>
        <v>0</v>
      </c>
      <c r="I157" s="339">
        <f t="shared" si="15"/>
        <v>5.1447831139022238E-12</v>
      </c>
      <c r="J157" s="63" t="str">
        <f t="shared" si="13"/>
        <v>kg</v>
      </c>
      <c r="K157" s="60"/>
      <c r="L157" s="56" t="s">
        <v>101</v>
      </c>
      <c r="M157" s="335">
        <v>1</v>
      </c>
      <c r="N157" s="61" t="s">
        <v>816</v>
      </c>
      <c r="O157" s="388" t="str">
        <f t="shared" si="14"/>
        <v>Emissions to water</v>
      </c>
      <c r="P157" s="389"/>
      <c r="Q157" s="390"/>
      <c r="R157" s="2"/>
      <c r="S157" s="2"/>
      <c r="T157" s="2"/>
      <c r="U157" s="2"/>
      <c r="V157" s="2"/>
      <c r="W157" s="2"/>
      <c r="X157" s="2"/>
      <c r="Y157" s="30"/>
      <c r="Z157" s="30"/>
    </row>
    <row r="158" spans="1:26" x14ac:dyDescent="0.25">
      <c r="A158" s="2"/>
      <c r="B158" s="9"/>
      <c r="C158" s="42" t="str">
        <f t="shared" si="16"/>
        <v>Fe_to_wat</v>
      </c>
      <c r="D158" s="71" t="s">
        <v>357</v>
      </c>
      <c r="E158" s="69">
        <v>1</v>
      </c>
      <c r="F158" s="69"/>
      <c r="G158" s="57">
        <f t="shared" si="9"/>
        <v>5.1447831139022238E-12</v>
      </c>
      <c r="H158" s="58">
        <f t="shared" si="10"/>
        <v>0</v>
      </c>
      <c r="I158" s="339">
        <f t="shared" si="15"/>
        <v>5.1447831139022238E-12</v>
      </c>
      <c r="J158" s="63" t="str">
        <f t="shared" si="13"/>
        <v>kg</v>
      </c>
      <c r="K158" s="60"/>
      <c r="L158" s="56" t="s">
        <v>101</v>
      </c>
      <c r="M158" s="335">
        <v>1</v>
      </c>
      <c r="N158" s="61" t="s">
        <v>816</v>
      </c>
      <c r="O158" s="388" t="str">
        <f t="shared" si="14"/>
        <v>Emissions to water</v>
      </c>
      <c r="P158" s="389"/>
      <c r="Q158" s="390"/>
      <c r="R158" s="2"/>
      <c r="S158" s="2"/>
      <c r="T158" s="2"/>
      <c r="U158" s="2"/>
      <c r="V158" s="2"/>
      <c r="W158" s="2"/>
      <c r="X158" s="2"/>
      <c r="Y158" s="30"/>
      <c r="Z158" s="30"/>
    </row>
    <row r="159" spans="1:26" x14ac:dyDescent="0.25">
      <c r="A159" s="2"/>
      <c r="B159" s="9"/>
      <c r="C159" s="42" t="str">
        <f t="shared" si="16"/>
        <v>As_to_air</v>
      </c>
      <c r="D159" s="71" t="s">
        <v>356</v>
      </c>
      <c r="E159" s="69">
        <v>1</v>
      </c>
      <c r="F159" s="69"/>
      <c r="G159" s="57">
        <f t="shared" ref="G159:G175" si="17">IF($C159="",1,VLOOKUP($C159,$C$22:$H$95,3,FALSE))</f>
        <v>1.7207501826350396E-10</v>
      </c>
      <c r="H159" s="58">
        <f t="shared" ref="H159:H175" si="18">IF($C159="","",VLOOKUP($C159,$C$22:$H$95,6,FALSE))</f>
        <v>0</v>
      </c>
      <c r="I159" s="339">
        <f t="shared" si="15"/>
        <v>1.7207501826350396E-10</v>
      </c>
      <c r="J159" s="63" t="str">
        <f t="shared" si="13"/>
        <v>kg</v>
      </c>
      <c r="K159" s="60"/>
      <c r="L159" s="56" t="s">
        <v>101</v>
      </c>
      <c r="M159" s="335">
        <v>1</v>
      </c>
      <c r="N159" s="61" t="s">
        <v>816</v>
      </c>
      <c r="O159" s="388" t="str">
        <f t="shared" si="14"/>
        <v>Emissions to air</v>
      </c>
      <c r="P159" s="389"/>
      <c r="Q159" s="390"/>
      <c r="R159" s="2"/>
      <c r="S159" s="2"/>
      <c r="T159" s="2"/>
      <c r="U159" s="2"/>
      <c r="V159" s="2"/>
      <c r="W159" s="2"/>
      <c r="X159" s="2"/>
      <c r="Y159" s="30"/>
      <c r="Z159" s="30"/>
    </row>
    <row r="160" spans="1:26" x14ac:dyDescent="0.25">
      <c r="A160" s="2"/>
      <c r="B160" s="9"/>
      <c r="C160" s="42" t="str">
        <f t="shared" si="16"/>
        <v>Be_to_air</v>
      </c>
      <c r="D160" s="71" t="s">
        <v>355</v>
      </c>
      <c r="E160" s="69">
        <v>1</v>
      </c>
      <c r="F160" s="69"/>
      <c r="G160" s="57">
        <f t="shared" si="17"/>
        <v>1.8795392519442426E-11</v>
      </c>
      <c r="H160" s="58">
        <f t="shared" si="18"/>
        <v>0</v>
      </c>
      <c r="I160" s="339">
        <f t="shared" si="15"/>
        <v>1.8795392519442426E-11</v>
      </c>
      <c r="J160" s="63" t="str">
        <f t="shared" si="13"/>
        <v>kg</v>
      </c>
      <c r="K160" s="60"/>
      <c r="L160" s="56" t="s">
        <v>101</v>
      </c>
      <c r="M160" s="335">
        <v>1</v>
      </c>
      <c r="N160" s="61" t="s">
        <v>816</v>
      </c>
      <c r="O160" s="388" t="str">
        <f t="shared" si="14"/>
        <v>Emissions to air</v>
      </c>
      <c r="P160" s="389"/>
      <c r="Q160" s="390"/>
      <c r="R160" s="2"/>
      <c r="S160" s="2"/>
      <c r="T160" s="2"/>
      <c r="U160" s="2"/>
      <c r="V160" s="2"/>
      <c r="W160" s="2"/>
      <c r="X160" s="2"/>
      <c r="Y160" s="30"/>
      <c r="Z160" s="30"/>
    </row>
    <row r="161" spans="1:26" x14ac:dyDescent="0.25">
      <c r="A161" s="2"/>
      <c r="B161" s="9"/>
      <c r="C161" s="42" t="str">
        <f t="shared" si="16"/>
        <v>Cd_to_air</v>
      </c>
      <c r="D161" s="71" t="s">
        <v>354</v>
      </c>
      <c r="E161" s="69">
        <v>1</v>
      </c>
      <c r="F161" s="69"/>
      <c r="G161" s="57">
        <f t="shared" si="17"/>
        <v>8.5778627582825969E-11</v>
      </c>
      <c r="H161" s="58">
        <f t="shared" si="18"/>
        <v>0</v>
      </c>
      <c r="I161" s="339">
        <f t="shared" si="15"/>
        <v>8.5778627582825969E-11</v>
      </c>
      <c r="J161" s="63" t="str">
        <f t="shared" si="13"/>
        <v>kg</v>
      </c>
      <c r="K161" s="60"/>
      <c r="L161" s="56" t="s">
        <v>101</v>
      </c>
      <c r="M161" s="335">
        <v>1</v>
      </c>
      <c r="N161" s="61" t="s">
        <v>816</v>
      </c>
      <c r="O161" s="388" t="str">
        <f t="shared" si="14"/>
        <v>Emissions to air</v>
      </c>
      <c r="P161" s="389"/>
      <c r="Q161" s="390"/>
      <c r="R161" s="2"/>
      <c r="S161" s="2"/>
      <c r="T161" s="2"/>
      <c r="U161" s="2"/>
      <c r="V161" s="2"/>
      <c r="W161" s="2"/>
      <c r="X161" s="2"/>
      <c r="Y161" s="30"/>
      <c r="Z161" s="30"/>
    </row>
    <row r="162" spans="1:26" x14ac:dyDescent="0.25">
      <c r="A162" s="2"/>
      <c r="B162" s="9"/>
      <c r="C162" s="42" t="str">
        <f t="shared" si="16"/>
        <v>Cr_to_air</v>
      </c>
      <c r="D162" s="71" t="s">
        <v>343</v>
      </c>
      <c r="E162" s="69">
        <v>1</v>
      </c>
      <c r="F162" s="69"/>
      <c r="G162" s="57">
        <f t="shared" si="17"/>
        <v>6.2757299502705133E-10</v>
      </c>
      <c r="H162" s="58">
        <f t="shared" si="18"/>
        <v>0</v>
      </c>
      <c r="I162" s="339">
        <f t="shared" si="15"/>
        <v>6.2757299502705133E-10</v>
      </c>
      <c r="J162" s="63" t="str">
        <f t="shared" si="13"/>
        <v>kg</v>
      </c>
      <c r="K162" s="60"/>
      <c r="L162" s="56" t="s">
        <v>101</v>
      </c>
      <c r="M162" s="335">
        <v>1</v>
      </c>
      <c r="N162" s="61" t="s">
        <v>816</v>
      </c>
      <c r="O162" s="388" t="str">
        <f t="shared" si="14"/>
        <v>Emissions to air</v>
      </c>
      <c r="P162" s="389"/>
      <c r="Q162" s="390"/>
      <c r="R162" s="2"/>
      <c r="S162" s="2"/>
      <c r="T162" s="2"/>
      <c r="U162" s="2"/>
      <c r="V162" s="2"/>
      <c r="W162" s="2"/>
      <c r="X162" s="2"/>
      <c r="Y162" s="30"/>
      <c r="Z162" s="30"/>
    </row>
    <row r="163" spans="1:26" x14ac:dyDescent="0.25">
      <c r="A163" s="2"/>
      <c r="B163" s="9"/>
      <c r="C163" s="42" t="str">
        <f t="shared" si="16"/>
        <v>Cob_to_air</v>
      </c>
      <c r="D163" s="42" t="s">
        <v>814</v>
      </c>
      <c r="E163" s="69">
        <v>1</v>
      </c>
      <c r="F163" s="69"/>
      <c r="G163" s="57">
        <f t="shared" si="17"/>
        <v>3.2530076560651233E-11</v>
      </c>
      <c r="H163" s="58">
        <f t="shared" si="18"/>
        <v>0</v>
      </c>
      <c r="I163" s="339">
        <f t="shared" si="15"/>
        <v>3.2530076560651233E-11</v>
      </c>
      <c r="J163" s="63" t="str">
        <f t="shared" si="13"/>
        <v>kg</v>
      </c>
      <c r="K163" s="60"/>
      <c r="L163" s="56" t="s">
        <v>101</v>
      </c>
      <c r="M163" s="335">
        <v>1</v>
      </c>
      <c r="N163" s="61" t="s">
        <v>816</v>
      </c>
      <c r="O163" s="388" t="str">
        <f t="shared" si="14"/>
        <v>Emissions to air</v>
      </c>
      <c r="P163" s="389"/>
      <c r="Q163" s="390"/>
      <c r="R163" s="2"/>
      <c r="S163" s="2"/>
      <c r="T163" s="2"/>
      <c r="U163" s="2"/>
      <c r="V163" s="2"/>
      <c r="W163" s="2"/>
      <c r="X163" s="2"/>
      <c r="Y163" s="30"/>
      <c r="Z163" s="30"/>
    </row>
    <row r="164" spans="1:26" x14ac:dyDescent="0.25">
      <c r="A164" s="2"/>
      <c r="B164" s="9"/>
      <c r="C164" s="42" t="str">
        <f t="shared" si="16"/>
        <v>Cu_to_air</v>
      </c>
      <c r="D164" s="72" t="s">
        <v>345</v>
      </c>
      <c r="E164" s="69">
        <v>1</v>
      </c>
      <c r="F164" s="69"/>
      <c r="G164" s="57">
        <f t="shared" si="17"/>
        <v>1.0686695278969958E-11</v>
      </c>
      <c r="H164" s="58">
        <f t="shared" si="18"/>
        <v>0</v>
      </c>
      <c r="I164" s="339">
        <f t="shared" si="15"/>
        <v>1.0686695278969958E-11</v>
      </c>
      <c r="J164" s="63" t="str">
        <f t="shared" si="13"/>
        <v>kg</v>
      </c>
      <c r="K164" s="60"/>
      <c r="L164" s="56" t="s">
        <v>101</v>
      </c>
      <c r="M164" s="335">
        <v>1</v>
      </c>
      <c r="N164" s="61" t="s">
        <v>816</v>
      </c>
      <c r="O164" s="388" t="str">
        <f t="shared" si="14"/>
        <v>Emissions to air</v>
      </c>
      <c r="P164" s="389"/>
      <c r="Q164" s="390"/>
      <c r="R164" s="2"/>
      <c r="S164" s="2"/>
      <c r="T164" s="2"/>
      <c r="U164" s="2"/>
      <c r="V164" s="2"/>
      <c r="W164" s="2"/>
      <c r="X164" s="2"/>
      <c r="Y164" s="30"/>
      <c r="Z164" s="30"/>
    </row>
    <row r="165" spans="1:26" x14ac:dyDescent="0.25">
      <c r="A165" s="2"/>
      <c r="B165" s="9"/>
      <c r="C165" s="42" t="str">
        <f t="shared" si="16"/>
        <v>Pb_to_air</v>
      </c>
      <c r="D165" s="72" t="s">
        <v>346</v>
      </c>
      <c r="E165" s="69">
        <v>1</v>
      </c>
      <c r="F165" s="69"/>
      <c r="G165" s="57">
        <f t="shared" si="17"/>
        <v>2.4904526072837566E-10</v>
      </c>
      <c r="H165" s="58">
        <f t="shared" si="18"/>
        <v>0</v>
      </c>
      <c r="I165" s="339">
        <f t="shared" si="15"/>
        <v>2.4904526072837566E-10</v>
      </c>
      <c r="J165" s="63" t="str">
        <f t="shared" si="13"/>
        <v>kg</v>
      </c>
      <c r="K165" s="60"/>
      <c r="L165" s="56" t="s">
        <v>101</v>
      </c>
      <c r="M165" s="335">
        <v>1</v>
      </c>
      <c r="N165" s="61" t="s">
        <v>816</v>
      </c>
      <c r="O165" s="388" t="str">
        <f t="shared" si="14"/>
        <v>Emissions to air</v>
      </c>
      <c r="P165" s="389"/>
      <c r="Q165" s="390"/>
      <c r="R165" s="2"/>
      <c r="S165" s="2"/>
      <c r="T165" s="2"/>
      <c r="U165" s="2"/>
      <c r="V165" s="2"/>
      <c r="W165" s="2"/>
      <c r="X165" s="2"/>
      <c r="Y165" s="30"/>
      <c r="Z165" s="30"/>
    </row>
    <row r="166" spans="1:26" x14ac:dyDescent="0.25">
      <c r="A166" s="2"/>
      <c r="B166" s="9"/>
      <c r="C166" s="42" t="str">
        <f t="shared" si="16"/>
        <v>Mn_to_air</v>
      </c>
      <c r="D166" s="72" t="s">
        <v>347</v>
      </c>
      <c r="E166" s="69">
        <v>1</v>
      </c>
      <c r="F166" s="69"/>
      <c r="G166" s="57">
        <f t="shared" si="17"/>
        <v>3.8118664871116146E-9</v>
      </c>
      <c r="H166" s="58">
        <f t="shared" si="18"/>
        <v>0</v>
      </c>
      <c r="I166" s="339">
        <f t="shared" si="15"/>
        <v>3.8118664871116146E-9</v>
      </c>
      <c r="J166" s="63" t="str">
        <f t="shared" si="13"/>
        <v>kg</v>
      </c>
      <c r="K166" s="60"/>
      <c r="L166" s="56" t="s">
        <v>101</v>
      </c>
      <c r="M166" s="335">
        <v>1</v>
      </c>
      <c r="N166" s="61" t="s">
        <v>816</v>
      </c>
      <c r="O166" s="388" t="str">
        <f t="shared" si="14"/>
        <v>Emissions to air</v>
      </c>
      <c r="P166" s="389"/>
      <c r="Q166" s="390"/>
      <c r="R166" s="2"/>
      <c r="S166" s="2"/>
      <c r="T166" s="2"/>
      <c r="U166" s="2"/>
      <c r="V166" s="2"/>
      <c r="W166" s="2"/>
      <c r="X166" s="2"/>
      <c r="Y166" s="30"/>
      <c r="Z166" s="30"/>
    </row>
    <row r="167" spans="1:26" x14ac:dyDescent="0.25">
      <c r="A167" s="2"/>
      <c r="B167" s="9"/>
      <c r="C167" s="42" t="str">
        <f t="shared" si="16"/>
        <v>Ni_to_air</v>
      </c>
      <c r="D167" s="73" t="s">
        <v>348</v>
      </c>
      <c r="E167" s="69">
        <v>1</v>
      </c>
      <c r="F167" s="69"/>
      <c r="G167" s="57">
        <f t="shared" si="17"/>
        <v>1.1779003610742216E-9</v>
      </c>
      <c r="H167" s="58">
        <f t="shared" si="18"/>
        <v>0</v>
      </c>
      <c r="I167" s="339">
        <f t="shared" si="15"/>
        <v>1.1779003610742216E-9</v>
      </c>
      <c r="J167" s="63" t="str">
        <f t="shared" si="13"/>
        <v>kg</v>
      </c>
      <c r="K167" s="60"/>
      <c r="L167" s="56" t="s">
        <v>101</v>
      </c>
      <c r="M167" s="335">
        <v>1</v>
      </c>
      <c r="N167" s="61" t="s">
        <v>816</v>
      </c>
      <c r="O167" s="388" t="str">
        <f t="shared" si="14"/>
        <v>Emissions to air</v>
      </c>
      <c r="P167" s="389"/>
      <c r="Q167" s="390"/>
      <c r="R167" s="2"/>
      <c r="S167" s="2"/>
      <c r="T167" s="2"/>
      <c r="U167" s="2"/>
      <c r="V167" s="2"/>
      <c r="W167" s="2"/>
      <c r="X167" s="2"/>
      <c r="Y167" s="30"/>
      <c r="Z167" s="30"/>
    </row>
    <row r="168" spans="1:26" x14ac:dyDescent="0.25">
      <c r="A168" s="2"/>
      <c r="B168" s="9"/>
      <c r="C168" s="42" t="str">
        <f t="shared" si="16"/>
        <v>Perch_air</v>
      </c>
      <c r="D168" s="63" t="s">
        <v>349</v>
      </c>
      <c r="E168" s="69">
        <v>1</v>
      </c>
      <c r="F168" s="69"/>
      <c r="G168" s="57">
        <f t="shared" si="17"/>
        <v>1.2998179086139705E-12</v>
      </c>
      <c r="H168" s="58">
        <f t="shared" si="18"/>
        <v>0</v>
      </c>
      <c r="I168" s="339">
        <f t="shared" si="15"/>
        <v>1.2998179086139705E-12</v>
      </c>
      <c r="J168" s="63" t="str">
        <f t="shared" si="13"/>
        <v>kg</v>
      </c>
      <c r="K168" s="60"/>
      <c r="L168" s="56" t="s">
        <v>101</v>
      </c>
      <c r="M168" s="335">
        <v>1</v>
      </c>
      <c r="N168" s="61" t="s">
        <v>816</v>
      </c>
      <c r="O168" s="388" t="str">
        <f t="shared" si="14"/>
        <v>Emissions to air</v>
      </c>
      <c r="P168" s="389"/>
      <c r="Q168" s="390"/>
      <c r="R168" s="2"/>
      <c r="S168" s="2"/>
      <c r="T168" s="2"/>
      <c r="U168" s="2"/>
      <c r="V168" s="2"/>
      <c r="W168" s="2"/>
      <c r="X168" s="2"/>
      <c r="Y168" s="30"/>
      <c r="Z168" s="30"/>
    </row>
    <row r="169" spans="1:26" x14ac:dyDescent="0.25">
      <c r="A169" s="2"/>
      <c r="B169" s="9"/>
      <c r="C169" s="42" t="str">
        <f t="shared" si="16"/>
        <v>P_to_air</v>
      </c>
      <c r="D169" s="63" t="s">
        <v>350</v>
      </c>
      <c r="E169" s="69">
        <v>1</v>
      </c>
      <c r="F169" s="69"/>
      <c r="G169" s="57">
        <f t="shared" si="17"/>
        <v>1.8698140200286121E-9</v>
      </c>
      <c r="H169" s="58">
        <f t="shared" si="18"/>
        <v>0</v>
      </c>
      <c r="I169" s="339">
        <f t="shared" si="15"/>
        <v>1.8698140200286121E-9</v>
      </c>
      <c r="J169" s="63" t="str">
        <f t="shared" si="13"/>
        <v>kg</v>
      </c>
      <c r="K169" s="60"/>
      <c r="L169" s="56" t="s">
        <v>101</v>
      </c>
      <c r="M169" s="335">
        <v>1</v>
      </c>
      <c r="N169" s="61" t="s">
        <v>816</v>
      </c>
      <c r="O169" s="388" t="str">
        <f t="shared" si="14"/>
        <v>Emissions to air</v>
      </c>
      <c r="P169" s="389"/>
      <c r="Q169" s="390"/>
      <c r="R169" s="2"/>
      <c r="S169" s="2"/>
      <c r="T169" s="2"/>
      <c r="U169" s="2"/>
      <c r="V169" s="2"/>
      <c r="W169" s="2"/>
      <c r="X169" s="2"/>
      <c r="Y169" s="30"/>
      <c r="Z169" s="30"/>
    </row>
    <row r="170" spans="1:26" x14ac:dyDescent="0.25">
      <c r="A170" s="2"/>
      <c r="B170" s="9"/>
      <c r="C170" s="42" t="str">
        <f t="shared" si="16"/>
        <v>RN_to_air</v>
      </c>
      <c r="D170" s="63" t="s">
        <v>351</v>
      </c>
      <c r="E170" s="69">
        <v>1</v>
      </c>
      <c r="F170" s="69"/>
      <c r="G170" s="57">
        <f t="shared" si="17"/>
        <v>1.3076256696834184E-5</v>
      </c>
      <c r="H170" s="58">
        <f t="shared" si="18"/>
        <v>0</v>
      </c>
      <c r="I170" s="339">
        <f t="shared" si="15"/>
        <v>1.3076256696834184E-5</v>
      </c>
      <c r="J170" s="63" t="str">
        <f>MID(VLOOKUP(C170,$C$23:$Q$93,8,FALSE),2,3)</f>
        <v>kBq</v>
      </c>
      <c r="K170" s="60"/>
      <c r="L170" s="56" t="s">
        <v>101</v>
      </c>
      <c r="M170" s="335">
        <v>1</v>
      </c>
      <c r="N170" s="61" t="s">
        <v>816</v>
      </c>
      <c r="O170" s="388" t="str">
        <f t="shared" si="14"/>
        <v>Emissions to air</v>
      </c>
      <c r="P170" s="389"/>
      <c r="Q170" s="390"/>
      <c r="R170" s="2"/>
      <c r="S170" s="2"/>
      <c r="T170" s="2"/>
      <c r="U170" s="2"/>
      <c r="V170" s="2"/>
      <c r="W170" s="2"/>
      <c r="X170" s="2"/>
      <c r="Y170" s="30"/>
      <c r="Z170" s="30"/>
    </row>
    <row r="171" spans="1:26" x14ac:dyDescent="0.25">
      <c r="A171" s="2"/>
      <c r="B171" s="9"/>
      <c r="C171" s="42" t="str">
        <f t="shared" si="16"/>
        <v>Se_to_air</v>
      </c>
      <c r="D171" s="63" t="s">
        <v>352</v>
      </c>
      <c r="E171" s="69">
        <v>1</v>
      </c>
      <c r="F171" s="69"/>
      <c r="G171" s="57">
        <f t="shared" si="17"/>
        <v>4.4851897718485398E-11</v>
      </c>
      <c r="H171" s="58">
        <f t="shared" si="18"/>
        <v>0</v>
      </c>
      <c r="I171" s="339">
        <f t="shared" si="15"/>
        <v>4.4851897718485398E-11</v>
      </c>
      <c r="J171" s="63" t="str">
        <f>MID(VLOOKUP(C171,$C$23:$Q$93,8,FALSE),2,2)</f>
        <v>kg</v>
      </c>
      <c r="K171" s="60"/>
      <c r="L171" s="56" t="s">
        <v>101</v>
      </c>
      <c r="M171" s="335">
        <v>1</v>
      </c>
      <c r="N171" s="61" t="s">
        <v>816</v>
      </c>
      <c r="O171" s="388" t="str">
        <f t="shared" si="14"/>
        <v>Emissions to air</v>
      </c>
      <c r="P171" s="389"/>
      <c r="Q171" s="390"/>
      <c r="R171" s="2"/>
      <c r="S171" s="2"/>
      <c r="T171" s="2"/>
      <c r="U171" s="2"/>
      <c r="V171" s="2"/>
      <c r="W171" s="2"/>
      <c r="X171" s="2"/>
      <c r="Y171" s="30"/>
      <c r="Z171" s="30"/>
    </row>
    <row r="172" spans="1:26" x14ac:dyDescent="0.25">
      <c r="A172" s="2"/>
      <c r="B172" s="9"/>
      <c r="C172" s="42" t="str">
        <f t="shared" si="16"/>
        <v>SOx_to_air</v>
      </c>
      <c r="D172" s="63" t="s">
        <v>353</v>
      </c>
      <c r="E172" s="69">
        <v>1</v>
      </c>
      <c r="F172" s="69"/>
      <c r="G172" s="57">
        <f t="shared" si="17"/>
        <v>1.1928978279535172E-6</v>
      </c>
      <c r="H172" s="58">
        <f t="shared" si="18"/>
        <v>0</v>
      </c>
      <c r="I172" s="339">
        <f t="shared" si="15"/>
        <v>1.1928978279535172E-6</v>
      </c>
      <c r="J172" s="63" t="str">
        <f>MID(VLOOKUP(C172,$C$23:$Q$93,8,FALSE),2,2)</f>
        <v>kg</v>
      </c>
      <c r="K172" s="60"/>
      <c r="L172" s="56" t="s">
        <v>101</v>
      </c>
      <c r="M172" s="335">
        <v>1</v>
      </c>
      <c r="N172" s="61" t="s">
        <v>816</v>
      </c>
      <c r="O172" s="388" t="str">
        <f t="shared" si="14"/>
        <v>Emissions to air</v>
      </c>
      <c r="P172" s="389"/>
      <c r="Q172" s="390"/>
      <c r="R172" s="2"/>
      <c r="S172" s="2"/>
      <c r="T172" s="2"/>
      <c r="U172" s="2"/>
      <c r="V172" s="2"/>
      <c r="W172" s="2"/>
      <c r="X172" s="2"/>
      <c r="Y172" s="30"/>
      <c r="Z172" s="30"/>
    </row>
    <row r="173" spans="1:26" x14ac:dyDescent="0.25">
      <c r="A173" s="2"/>
      <c r="B173" s="9"/>
      <c r="C173" s="42" t="str">
        <f t="shared" si="16"/>
        <v>Zn_to_air</v>
      </c>
      <c r="D173" s="150" t="s">
        <v>342</v>
      </c>
      <c r="E173" s="69">
        <v>1</v>
      </c>
      <c r="F173" s="69"/>
      <c r="G173" s="57">
        <f t="shared" si="17"/>
        <v>7.1244635193133047E-12</v>
      </c>
      <c r="H173" s="58">
        <f t="shared" si="18"/>
        <v>0</v>
      </c>
      <c r="I173" s="339">
        <f t="shared" si="15"/>
        <v>7.1244635193133047E-12</v>
      </c>
      <c r="J173" s="63" t="str">
        <f>MID(VLOOKUP(C173,$C$23:$Q$93,8,FALSE),2,2)</f>
        <v>kg</v>
      </c>
      <c r="K173" s="60"/>
      <c r="L173" s="56" t="s">
        <v>101</v>
      </c>
      <c r="M173" s="335">
        <v>1</v>
      </c>
      <c r="N173" s="61" t="s">
        <v>816</v>
      </c>
      <c r="O173" s="388" t="str">
        <f t="shared" si="14"/>
        <v>Emissions to air</v>
      </c>
      <c r="P173" s="389"/>
      <c r="Q173" s="390"/>
      <c r="R173" s="2"/>
      <c r="S173" s="2"/>
      <c r="T173" s="2"/>
      <c r="U173" s="2"/>
      <c r="V173" s="2"/>
      <c r="W173" s="2"/>
      <c r="X173" s="2"/>
      <c r="Y173" s="30"/>
      <c r="Z173" s="30"/>
    </row>
    <row r="174" spans="1:26" x14ac:dyDescent="0.25">
      <c r="A174" s="2"/>
      <c r="B174" s="9"/>
      <c r="C174" s="42"/>
      <c r="D174" s="3"/>
      <c r="E174" s="69">
        <v>1</v>
      </c>
      <c r="F174" s="69"/>
      <c r="G174" s="57">
        <f t="shared" si="17"/>
        <v>1</v>
      </c>
      <c r="H174" s="58" t="str">
        <f t="shared" si="18"/>
        <v/>
      </c>
      <c r="I174" s="59" t="str">
        <f t="shared" si="15"/>
        <v/>
      </c>
      <c r="J174" s="63"/>
      <c r="K174" s="60"/>
      <c r="L174" s="56"/>
      <c r="M174" s="61"/>
      <c r="N174" s="61"/>
      <c r="O174" s="388"/>
      <c r="P174" s="389"/>
      <c r="Q174" s="390"/>
      <c r="R174" s="2"/>
      <c r="S174" s="2"/>
      <c r="T174" s="2"/>
      <c r="U174" s="2"/>
      <c r="V174" s="2"/>
      <c r="W174" s="2"/>
      <c r="X174" s="2"/>
      <c r="Y174" s="30"/>
      <c r="Z174" s="30"/>
    </row>
    <row r="175" spans="1:26" x14ac:dyDescent="0.25">
      <c r="A175" s="2"/>
      <c r="B175" s="9"/>
      <c r="C175" s="63"/>
      <c r="D175" s="42"/>
      <c r="E175" s="69"/>
      <c r="F175" s="69"/>
      <c r="G175" s="57">
        <f t="shared" si="17"/>
        <v>1</v>
      </c>
      <c r="H175" s="58" t="str">
        <f t="shared" si="18"/>
        <v/>
      </c>
      <c r="I175" s="59" t="str">
        <f>IF(D175="","",E175*G175*$D$5)</f>
        <v/>
      </c>
      <c r="J175" s="69"/>
      <c r="K175" s="60"/>
      <c r="L175" s="56"/>
      <c r="M175" s="61"/>
      <c r="N175" s="61"/>
      <c r="O175" s="388"/>
      <c r="P175" s="389"/>
      <c r="Q175" s="390"/>
      <c r="R175" s="2"/>
      <c r="S175" s="2"/>
      <c r="T175" s="2"/>
      <c r="U175" s="2"/>
      <c r="V175" s="2"/>
      <c r="W175" s="2"/>
      <c r="X175" s="2"/>
      <c r="Y175" s="30"/>
      <c r="Z175" s="30"/>
    </row>
    <row r="176" spans="1:26" x14ac:dyDescent="0.25">
      <c r="A176" s="2"/>
      <c r="B176" s="9"/>
      <c r="C176" s="65" t="s">
        <v>65</v>
      </c>
      <c r="D176" s="74" t="s">
        <v>66</v>
      </c>
      <c r="E176" s="66" t="s">
        <v>76</v>
      </c>
      <c r="F176" s="49"/>
      <c r="G176" s="75"/>
      <c r="H176" s="76"/>
      <c r="I176" s="76"/>
      <c r="J176" s="49"/>
      <c r="K176" s="66"/>
      <c r="L176" s="49" t="s">
        <v>78</v>
      </c>
      <c r="M176" s="67"/>
      <c r="N176" s="67"/>
      <c r="O176" s="419"/>
      <c r="P176" s="419"/>
      <c r="Q176" s="419"/>
      <c r="R176" s="2"/>
      <c r="S176" s="2"/>
      <c r="T176" s="2"/>
      <c r="U176" s="2"/>
      <c r="V176" s="2"/>
      <c r="W176" s="2"/>
      <c r="X176" s="2"/>
      <c r="Y176" s="30"/>
      <c r="Z176" s="30"/>
    </row>
    <row r="177" spans="1:26" x14ac:dyDescent="0.25">
      <c r="A177" s="2"/>
      <c r="B177" s="9"/>
      <c r="C177" s="2"/>
      <c r="D177" s="2"/>
      <c r="E177" s="2"/>
      <c r="F177" s="2"/>
      <c r="G177" s="2"/>
      <c r="H177" s="2"/>
      <c r="I177" s="2"/>
      <c r="J177" s="2"/>
      <c r="K177" s="2"/>
      <c r="L177" s="2"/>
      <c r="M177" s="2"/>
      <c r="N177" s="2"/>
      <c r="O177" s="2"/>
      <c r="P177" s="2"/>
      <c r="Q177" s="2"/>
      <c r="R177" s="2"/>
      <c r="S177" s="2"/>
      <c r="T177" s="2"/>
      <c r="U177" s="2"/>
      <c r="V177" s="2"/>
      <c r="W177" s="2"/>
      <c r="X177" s="2"/>
      <c r="Y177" s="30"/>
      <c r="Z177" s="30"/>
    </row>
    <row r="178" spans="1:26" x14ac:dyDescent="0.25">
      <c r="A178" s="2"/>
      <c r="B178" s="9"/>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25">
      <c r="A179" s="2"/>
      <c r="B179" s="9"/>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25">
      <c r="A180" s="2"/>
      <c r="B180" s="9"/>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25">
      <c r="A181" s="2"/>
      <c r="B181" s="9"/>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25">
      <c r="A182" s="2"/>
      <c r="B182" s="9"/>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25">
      <c r="A183" s="2"/>
      <c r="B183" s="9"/>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25">
      <c r="A184" s="2"/>
      <c r="B184" s="9"/>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25">
      <c r="A185" s="2"/>
      <c r="B185" s="9"/>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25">
      <c r="A186" s="2"/>
      <c r="B186" s="9"/>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25">
      <c r="A187" s="2"/>
      <c r="B187" s="9"/>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25">
      <c r="A188" s="2"/>
      <c r="B188" s="9"/>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25">
      <c r="A189" s="2"/>
      <c r="B189" s="9"/>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25">
      <c r="A190" s="2"/>
      <c r="B190" s="9"/>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25">
      <c r="A191" s="2"/>
      <c r="B191" s="9"/>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25">
      <c r="A192" s="2"/>
      <c r="B192" s="9"/>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25">
      <c r="A193" s="2"/>
      <c r="B193" s="9"/>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25">
      <c r="A194" s="2"/>
      <c r="B194" s="9"/>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25">
      <c r="A195" s="2"/>
      <c r="B195" s="9"/>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25">
      <c r="A196" s="2"/>
      <c r="B196" s="9"/>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25">
      <c r="A197" s="2"/>
      <c r="B197" s="9"/>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25">
      <c r="A198" s="2"/>
      <c r="B198" s="9"/>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25">
      <c r="A199" s="2"/>
      <c r="B199" s="9"/>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25">
      <c r="A200" s="2"/>
      <c r="B200" s="9"/>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25">
      <c r="A201" s="2"/>
      <c r="B201" s="9"/>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25">
      <c r="A202" s="2"/>
      <c r="B202" s="9"/>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25">
      <c r="A203" s="2"/>
      <c r="B203" s="9"/>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25">
      <c r="A204" s="2"/>
      <c r="B204" s="9"/>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25">
      <c r="A205" s="2"/>
      <c r="B205" s="9"/>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25">
      <c r="A206" s="2"/>
      <c r="B206" s="9"/>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25">
      <c r="A207" s="2"/>
      <c r="B207" s="9"/>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25">
      <c r="A208" s="2"/>
      <c r="B208" s="9"/>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25">
      <c r="A209" s="2"/>
      <c r="B209" s="9"/>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25">
      <c r="A210" s="2"/>
      <c r="B210" s="9"/>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25">
      <c r="A211" s="2"/>
      <c r="B211" s="9"/>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25">
      <c r="A212" s="2"/>
      <c r="B212" s="9"/>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25">
      <c r="A213" s="2"/>
      <c r="B213" s="9"/>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25">
      <c r="A214" s="2"/>
      <c r="B214" s="9"/>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25">
      <c r="A215" s="2"/>
      <c r="B215" s="9"/>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25">
      <c r="A216" s="2"/>
      <c r="B216" s="9"/>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25">
      <c r="A217" s="2"/>
      <c r="B217" s="9"/>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25">
      <c r="A218" s="2"/>
      <c r="B218" s="9"/>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25">
      <c r="A219" s="2"/>
      <c r="B219" s="9"/>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25">
      <c r="A220" s="2"/>
      <c r="B220" s="9"/>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25">
      <c r="A221" s="2"/>
      <c r="B221" s="9"/>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25">
      <c r="A222" s="2"/>
      <c r="B222" s="9"/>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25">
      <c r="A223" s="2"/>
      <c r="B223" s="9"/>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25">
      <c r="A224" s="2"/>
      <c r="B224" s="9"/>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25">
      <c r="A225" s="2"/>
      <c r="B225" s="9"/>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25">
      <c r="A226" s="2"/>
      <c r="B226" s="9"/>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25">
      <c r="A227" s="2"/>
      <c r="B227" s="9"/>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25">
      <c r="A228" s="2"/>
      <c r="B228" s="9"/>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25">
      <c r="A229" s="2"/>
      <c r="B229" s="9"/>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25">
      <c r="A230" s="2"/>
      <c r="B230" s="9"/>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25">
      <c r="A231" s="2"/>
      <c r="B231" s="9"/>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25">
      <c r="A232" s="2"/>
      <c r="B232" s="77" t="s">
        <v>94</v>
      </c>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25">
      <c r="A233" s="9"/>
      <c r="B233" s="9"/>
      <c r="C233" s="9" t="s">
        <v>95</v>
      </c>
      <c r="D233" s="9" t="s">
        <v>96</v>
      </c>
      <c r="E233" s="9" t="s">
        <v>97</v>
      </c>
      <c r="F233" s="9"/>
      <c r="G233" s="9"/>
      <c r="H233" s="9" t="s">
        <v>75</v>
      </c>
      <c r="I233" s="9"/>
      <c r="J233" s="9"/>
      <c r="K233" s="9" t="s">
        <v>74</v>
      </c>
      <c r="L233" s="9"/>
      <c r="M233" s="9"/>
      <c r="N233" s="9"/>
      <c r="O233" s="9"/>
      <c r="P233" s="9"/>
      <c r="Q233" s="9"/>
      <c r="R233" s="9"/>
      <c r="S233" s="9"/>
      <c r="T233" s="9"/>
      <c r="U233" s="9"/>
      <c r="V233" s="9"/>
      <c r="W233" s="9"/>
      <c r="X233" s="9"/>
      <c r="Y233" s="9"/>
      <c r="Z233" s="9"/>
    </row>
    <row r="234" spans="1:26" x14ac:dyDescent="0.25">
      <c r="A234" s="2"/>
      <c r="B234" s="9"/>
      <c r="C234" s="78" t="s">
        <v>78</v>
      </c>
      <c r="D234" s="78" t="s">
        <v>78</v>
      </c>
      <c r="E234" s="78" t="s">
        <v>78</v>
      </c>
      <c r="F234" s="2"/>
      <c r="G234" s="2"/>
      <c r="H234" s="78" t="s">
        <v>78</v>
      </c>
      <c r="I234" s="2"/>
      <c r="J234" s="2"/>
      <c r="K234" s="2"/>
      <c r="L234" s="2"/>
      <c r="M234" s="2"/>
      <c r="N234" s="2"/>
      <c r="O234" s="2"/>
      <c r="P234" s="2"/>
      <c r="Q234" s="2"/>
      <c r="R234" s="2"/>
      <c r="S234" s="2"/>
      <c r="T234" s="2"/>
      <c r="U234" s="2"/>
      <c r="V234" s="2"/>
      <c r="W234" s="2"/>
      <c r="X234" s="2"/>
      <c r="Y234" s="2"/>
      <c r="Z234" s="2"/>
    </row>
    <row r="235" spans="1:26" x14ac:dyDescent="0.25">
      <c r="A235" s="2"/>
      <c r="B235" s="9"/>
      <c r="C235" s="17" t="s">
        <v>98</v>
      </c>
      <c r="D235" s="2" t="s">
        <v>99</v>
      </c>
      <c r="E235" s="2" t="s">
        <v>100</v>
      </c>
      <c r="F235" s="2"/>
      <c r="G235" s="2"/>
      <c r="H235" s="2" t="s">
        <v>101</v>
      </c>
      <c r="I235" s="2"/>
      <c r="J235" s="2"/>
      <c r="K235" s="2" t="s">
        <v>102</v>
      </c>
      <c r="L235" s="2"/>
      <c r="M235" s="2"/>
      <c r="N235" s="2"/>
      <c r="O235" s="2"/>
      <c r="P235" s="2"/>
      <c r="Q235" s="2"/>
      <c r="R235" s="2"/>
      <c r="S235" s="2"/>
      <c r="T235" s="2"/>
      <c r="U235" s="2"/>
      <c r="V235" s="2"/>
      <c r="W235" s="2"/>
      <c r="X235" s="2"/>
      <c r="Y235" s="2"/>
      <c r="Z235" s="2"/>
    </row>
    <row r="236" spans="1:26" x14ac:dyDescent="0.25">
      <c r="A236" s="2"/>
      <c r="B236" s="9"/>
      <c r="C236" s="2" t="s">
        <v>103</v>
      </c>
      <c r="D236" s="2" t="s">
        <v>104</v>
      </c>
      <c r="E236" s="2" t="s">
        <v>105</v>
      </c>
      <c r="F236" s="2"/>
      <c r="G236" s="2"/>
      <c r="H236" s="2" t="s">
        <v>106</v>
      </c>
      <c r="I236" s="2"/>
      <c r="J236" s="2"/>
      <c r="K236" s="2" t="s">
        <v>107</v>
      </c>
      <c r="L236" s="2"/>
      <c r="M236" s="2"/>
      <c r="N236" s="2"/>
      <c r="O236" s="2"/>
      <c r="P236" s="2"/>
      <c r="Q236" s="2"/>
      <c r="R236" s="2"/>
      <c r="S236" s="2"/>
      <c r="T236" s="2"/>
      <c r="U236" s="2"/>
      <c r="V236" s="2"/>
      <c r="W236" s="2"/>
      <c r="X236" s="2"/>
      <c r="Y236" s="2"/>
      <c r="Z236" s="2"/>
    </row>
    <row r="237" spans="1:26" x14ac:dyDescent="0.25">
      <c r="A237" s="2"/>
      <c r="B237" s="9"/>
      <c r="C237" s="2" t="s">
        <v>108</v>
      </c>
      <c r="D237" s="2" t="s">
        <v>109</v>
      </c>
      <c r="E237" s="2" t="s">
        <v>110</v>
      </c>
      <c r="F237" s="2"/>
      <c r="G237" s="2"/>
      <c r="H237" s="2" t="s">
        <v>111</v>
      </c>
      <c r="I237" s="2"/>
      <c r="J237" s="2"/>
      <c r="K237" s="2"/>
      <c r="L237" s="2"/>
      <c r="M237" s="2"/>
      <c r="N237" s="2"/>
      <c r="O237" s="2"/>
      <c r="P237" s="2"/>
      <c r="Q237" s="2"/>
      <c r="R237" s="2"/>
      <c r="S237" s="2"/>
      <c r="T237" s="2"/>
      <c r="U237" s="2"/>
      <c r="V237" s="2"/>
      <c r="W237" s="2"/>
      <c r="X237" s="2"/>
      <c r="Y237" s="2"/>
      <c r="Z237" s="2"/>
    </row>
    <row r="238" spans="1:26" x14ac:dyDescent="0.25">
      <c r="A238" s="2"/>
      <c r="B238" s="9"/>
      <c r="C238" s="2" t="s">
        <v>112</v>
      </c>
      <c r="D238" s="2" t="s">
        <v>113</v>
      </c>
      <c r="E238" s="2" t="s">
        <v>114</v>
      </c>
      <c r="F238" s="2"/>
      <c r="G238" s="2"/>
      <c r="H238" s="2" t="s">
        <v>115</v>
      </c>
      <c r="I238" s="2"/>
      <c r="J238" s="2"/>
      <c r="K238" s="2"/>
      <c r="L238" s="2"/>
      <c r="M238" s="2"/>
      <c r="N238" s="2"/>
      <c r="O238" s="2"/>
      <c r="P238" s="2"/>
      <c r="Q238" s="2"/>
      <c r="R238" s="2"/>
      <c r="S238" s="2"/>
      <c r="T238" s="2"/>
      <c r="U238" s="2"/>
      <c r="V238" s="2"/>
      <c r="W238" s="2"/>
      <c r="X238" s="2"/>
      <c r="Y238" s="2"/>
      <c r="Z238" s="2"/>
    </row>
    <row r="239" spans="1:26" x14ac:dyDescent="0.25">
      <c r="A239" s="2"/>
      <c r="B239" s="9"/>
      <c r="C239" s="2" t="s">
        <v>116</v>
      </c>
      <c r="D239" s="2"/>
      <c r="E239" s="2" t="s">
        <v>117</v>
      </c>
      <c r="F239" s="2"/>
      <c r="G239" s="2"/>
      <c r="H239" s="2" t="s">
        <v>117</v>
      </c>
      <c r="I239" s="2"/>
      <c r="J239" s="2"/>
      <c r="K239" s="2"/>
      <c r="L239" s="2"/>
      <c r="M239" s="2"/>
      <c r="N239" s="2"/>
      <c r="O239" s="2"/>
      <c r="P239" s="2"/>
      <c r="Q239" s="2"/>
      <c r="R239" s="2"/>
      <c r="S239" s="2"/>
      <c r="T239" s="2"/>
      <c r="U239" s="2"/>
      <c r="V239" s="2"/>
      <c r="W239" s="2"/>
      <c r="X239" s="2"/>
      <c r="Y239" s="2"/>
      <c r="Z239" s="2"/>
    </row>
    <row r="240" spans="1:26" x14ac:dyDescent="0.25">
      <c r="A240" s="2"/>
      <c r="B240" s="9"/>
      <c r="C240" s="2" t="s">
        <v>118</v>
      </c>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25">
      <c r="A241" s="2"/>
      <c r="B241" s="9"/>
      <c r="C241" s="2" t="s">
        <v>119</v>
      </c>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25">
      <c r="A242" s="2"/>
      <c r="B242" s="9"/>
      <c r="C242" s="2" t="s">
        <v>120</v>
      </c>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25">
      <c r="A243" s="2"/>
      <c r="B243" s="9"/>
      <c r="C243" s="17" t="s">
        <v>121</v>
      </c>
      <c r="D243" s="2"/>
      <c r="E243" s="2"/>
      <c r="F243" s="2"/>
      <c r="G243" s="2"/>
      <c r="H243" s="2"/>
      <c r="I243" s="2"/>
      <c r="J243" s="2"/>
      <c r="K243" s="2"/>
      <c r="L243" s="2"/>
      <c r="M243" s="2"/>
      <c r="N243" s="2"/>
      <c r="O243" s="2"/>
      <c r="P243" s="2"/>
      <c r="Q243" s="2"/>
      <c r="R243" s="2"/>
      <c r="S243" s="2"/>
      <c r="T243" s="2"/>
      <c r="U243" s="2"/>
      <c r="V243" s="2"/>
      <c r="W243" s="2"/>
      <c r="X243" s="2"/>
      <c r="Y243" s="2"/>
      <c r="Z243" s="2"/>
    </row>
  </sheetData>
  <sheetProtection formatCells="0" formatRows="0" insertRows="0" insertHyperlinks="0" deleteRows="0" selectLockedCells="1"/>
  <mergeCells count="175">
    <mergeCell ref="O170:Q170"/>
    <mergeCell ref="O171:Q171"/>
    <mergeCell ref="O172:Q172"/>
    <mergeCell ref="J59:Q59"/>
    <mergeCell ref="J60:Q60"/>
    <mergeCell ref="J61:Q61"/>
    <mergeCell ref="J33:Q33"/>
    <mergeCell ref="J34:Q34"/>
    <mergeCell ref="J35:Q35"/>
    <mergeCell ref="J37:Q37"/>
    <mergeCell ref="J38:Q38"/>
    <mergeCell ref="J39:Q39"/>
    <mergeCell ref="J40:Q40"/>
    <mergeCell ref="J41:Q41"/>
    <mergeCell ref="J42:Q42"/>
    <mergeCell ref="J62:Q62"/>
    <mergeCell ref="J94:Q94"/>
    <mergeCell ref="J46:Q46"/>
    <mergeCell ref="J47:Q47"/>
    <mergeCell ref="J48:Q48"/>
    <mergeCell ref="J49:Q49"/>
    <mergeCell ref="J50:Q50"/>
    <mergeCell ref="J51:Q51"/>
    <mergeCell ref="J52:Q52"/>
    <mergeCell ref="O139:Q139"/>
    <mergeCell ref="O140:Q140"/>
    <mergeCell ref="O141:Q141"/>
    <mergeCell ref="O143:Q143"/>
    <mergeCell ref="O144:Q144"/>
    <mergeCell ref="O155:Q155"/>
    <mergeCell ref="O156:Q156"/>
    <mergeCell ref="O157:Q157"/>
    <mergeCell ref="O176:Q176"/>
    <mergeCell ref="O147:Q147"/>
    <mergeCell ref="O148:Q148"/>
    <mergeCell ref="O149:Q149"/>
    <mergeCell ref="O150:Q150"/>
    <mergeCell ref="O151:Q151"/>
    <mergeCell ref="O152:Q152"/>
    <mergeCell ref="O153:Q153"/>
    <mergeCell ref="O154:Q154"/>
    <mergeCell ref="O175:Q175"/>
    <mergeCell ref="O164:Q164"/>
    <mergeCell ref="O165:Q165"/>
    <mergeCell ref="O166:Q166"/>
    <mergeCell ref="O167:Q167"/>
    <mergeCell ref="O168:Q168"/>
    <mergeCell ref="O169:Q169"/>
    <mergeCell ref="B11:C11"/>
    <mergeCell ref="D11:E11"/>
    <mergeCell ref="B13:C13"/>
    <mergeCell ref="D13:E13"/>
    <mergeCell ref="G13:P16"/>
    <mergeCell ref="B14:C14"/>
    <mergeCell ref="O126:Q126"/>
    <mergeCell ref="O128:Q128"/>
    <mergeCell ref="O127:Q127"/>
    <mergeCell ref="O122:Q122"/>
    <mergeCell ref="B124:Q124"/>
    <mergeCell ref="O100:Q100"/>
    <mergeCell ref="O101:Q101"/>
    <mergeCell ref="O116:Q116"/>
    <mergeCell ref="O112:Q112"/>
    <mergeCell ref="O105:Q105"/>
    <mergeCell ref="O104:Q104"/>
    <mergeCell ref="O106:Q106"/>
    <mergeCell ref="O107:Q107"/>
    <mergeCell ref="O102:Q102"/>
    <mergeCell ref="O103:Q103"/>
    <mergeCell ref="J22:Q22"/>
    <mergeCell ref="J23:Q23"/>
    <mergeCell ref="J54:Q54"/>
    <mergeCell ref="B1:R1"/>
    <mergeCell ref="B2:R2"/>
    <mergeCell ref="B4:C4"/>
    <mergeCell ref="B5:C5"/>
    <mergeCell ref="G5:K5"/>
    <mergeCell ref="B6:C6"/>
    <mergeCell ref="D6:P6"/>
    <mergeCell ref="B8:Q8"/>
    <mergeCell ref="B10:C10"/>
    <mergeCell ref="D10:E10"/>
    <mergeCell ref="J56:Q56"/>
    <mergeCell ref="J57:Q57"/>
    <mergeCell ref="J58:Q58"/>
    <mergeCell ref="J64:Q64"/>
    <mergeCell ref="J66:Q66"/>
    <mergeCell ref="J67:Q67"/>
    <mergeCell ref="J68:Q68"/>
    <mergeCell ref="J69:Q69"/>
    <mergeCell ref="B12:C12"/>
    <mergeCell ref="D12:E12"/>
    <mergeCell ref="J55:Q55"/>
    <mergeCell ref="J43:Q43"/>
    <mergeCell ref="J71:Q71"/>
    <mergeCell ref="D14:E14"/>
    <mergeCell ref="J90:Q90"/>
    <mergeCell ref="B15:C15"/>
    <mergeCell ref="D15:E15"/>
    <mergeCell ref="B16:C16"/>
    <mergeCell ref="D16:E16"/>
    <mergeCell ref="J91:Q91"/>
    <mergeCell ref="O99:Q99"/>
    <mergeCell ref="B97:Q97"/>
    <mergeCell ref="J36:Q36"/>
    <mergeCell ref="B17:C17"/>
    <mergeCell ref="D17:E17"/>
    <mergeCell ref="B20:Q20"/>
    <mergeCell ref="J24:Q24"/>
    <mergeCell ref="J25:Q25"/>
    <mergeCell ref="J26:Q26"/>
    <mergeCell ref="J27:Q27"/>
    <mergeCell ref="J28:Q28"/>
    <mergeCell ref="J29:Q29"/>
    <mergeCell ref="J30:Q30"/>
    <mergeCell ref="J31:Q31"/>
    <mergeCell ref="J44:Q44"/>
    <mergeCell ref="J45:Q45"/>
    <mergeCell ref="J92:Q92"/>
    <mergeCell ref="J93:Q93"/>
    <mergeCell ref="J53:Q53"/>
    <mergeCell ref="J81:Q81"/>
    <mergeCell ref="J82:Q82"/>
    <mergeCell ref="J83:Q83"/>
    <mergeCell ref="J84:Q84"/>
    <mergeCell ref="J85:Q85"/>
    <mergeCell ref="J86:Q86"/>
    <mergeCell ref="J87:Q87"/>
    <mergeCell ref="J88:Q88"/>
    <mergeCell ref="J89:Q89"/>
    <mergeCell ref="J72:Q72"/>
    <mergeCell ref="J73:Q73"/>
    <mergeCell ref="J74:Q74"/>
    <mergeCell ref="J75:Q75"/>
    <mergeCell ref="J76:Q76"/>
    <mergeCell ref="J77:Q77"/>
    <mergeCell ref="J78:Q78"/>
    <mergeCell ref="J79:Q79"/>
    <mergeCell ref="J80:Q80"/>
    <mergeCell ref="J63:Q63"/>
    <mergeCell ref="J65:Q65"/>
    <mergeCell ref="J70:Q70"/>
    <mergeCell ref="O108:Q108"/>
    <mergeCell ref="O109:Q109"/>
    <mergeCell ref="O110:Q110"/>
    <mergeCell ref="O111:Q111"/>
    <mergeCell ref="O113:Q113"/>
    <mergeCell ref="O114:Q114"/>
    <mergeCell ref="O115:Q115"/>
    <mergeCell ref="O117:Q117"/>
    <mergeCell ref="O118:Q118"/>
    <mergeCell ref="O173:Q173"/>
    <mergeCell ref="O174:Q174"/>
    <mergeCell ref="O119:Q119"/>
    <mergeCell ref="O120:Q120"/>
    <mergeCell ref="O121:Q121"/>
    <mergeCell ref="O158:Q158"/>
    <mergeCell ref="O159:Q159"/>
    <mergeCell ref="O160:Q160"/>
    <mergeCell ref="O161:Q161"/>
    <mergeCell ref="O162:Q162"/>
    <mergeCell ref="O163:Q163"/>
    <mergeCell ref="O145:Q145"/>
    <mergeCell ref="O146:Q146"/>
    <mergeCell ref="O142:Q142"/>
    <mergeCell ref="O136:Q136"/>
    <mergeCell ref="O129:Q129"/>
    <mergeCell ref="O130:Q130"/>
    <mergeCell ref="O131:Q131"/>
    <mergeCell ref="O132:Q132"/>
    <mergeCell ref="O133:Q133"/>
    <mergeCell ref="O134:Q134"/>
    <mergeCell ref="O135:Q135"/>
    <mergeCell ref="O137:Q137"/>
    <mergeCell ref="O138:Q138"/>
  </mergeCells>
  <conditionalFormatting sqref="H100:H121 H127:H176">
    <cfRule type="cellIs" dxfId="6" priority="2" stopIfTrue="1" operator="equal">
      <formula>0</formula>
    </cfRule>
  </conditionalFormatting>
  <conditionalFormatting sqref="G100:G121 G127:G176">
    <cfRule type="cellIs" dxfId="5" priority="1" stopIfTrue="1" operator="equal">
      <formula>1</formula>
    </cfRule>
  </conditionalFormatting>
  <dataValidations count="7">
    <dataValidation type="list" allowBlank="1" showInputMessage="1" showErrorMessage="1" sqref="L100:L121 L127:L175">
      <formula1>$H$234:$H$239</formula1>
    </dataValidation>
    <dataValidation type="list" allowBlank="1" showInputMessage="1" showErrorMessage="1" sqref="K127:K175 K100:K121">
      <formula1>$K$234:$K$236</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$C$234:$C$243</formula1>
    </dataValidation>
    <dataValidation type="list" allowBlank="1" showInputMessage="1" showErrorMessage="1" sqref="D14:E14">
      <formula1>$D$234:$D$238</formula1>
    </dataValidation>
    <dataValidation type="list" allowBlank="1" showInputMessage="1" showErrorMessage="1" sqref="D16:E16">
      <formula1>$E$234:$E$239</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autoPict="0" r:id="rId5">
            <anchor moveWithCells="1">
              <from>
                <xdr:col>3</xdr:col>
                <xdr:colOff>3095625</xdr:colOff>
                <xdr:row>16</xdr:row>
                <xdr:rowOff>47625</xdr:rowOff>
              </from>
              <to>
                <xdr:col>4</xdr:col>
                <xdr:colOff>209550</xdr:colOff>
                <xdr:row>16</xdr:row>
                <xdr:rowOff>257175</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F240"/>
  <sheetViews>
    <sheetView topLeftCell="C1" workbookViewId="0">
      <selection activeCell="T2" sqref="T2"/>
    </sheetView>
  </sheetViews>
  <sheetFormatPr defaultColWidth="9.140625" defaultRowHeight="15" x14ac:dyDescent="0.25"/>
  <cols>
    <col min="1" max="2" width="5" customWidth="1"/>
    <col min="3" max="3" width="24.42578125" customWidth="1"/>
    <col min="4" max="4" width="32.140625" customWidth="1"/>
    <col min="5" max="16" width="16.5703125" customWidth="1"/>
    <col min="17" max="17" width="108.140625" bestFit="1" customWidth="1"/>
    <col min="227" max="227" width="2.5703125" customWidth="1"/>
    <col min="228" max="228" width="24.42578125" customWidth="1"/>
    <col min="229" max="229" width="32.140625" customWidth="1"/>
    <col min="230" max="232" width="16.5703125" customWidth="1"/>
    <col min="233" max="233" width="83.85546875" customWidth="1"/>
    <col min="483" max="483" width="2.5703125" customWidth="1"/>
    <col min="484" max="484" width="24.42578125" customWidth="1"/>
    <col min="485" max="485" width="32.140625" customWidth="1"/>
    <col min="486" max="488" width="16.5703125" customWidth="1"/>
    <col min="489" max="489" width="83.85546875" customWidth="1"/>
    <col min="739" max="739" width="2.5703125" customWidth="1"/>
    <col min="740" max="740" width="24.42578125" customWidth="1"/>
    <col min="741" max="741" width="32.140625" customWidth="1"/>
    <col min="742" max="744" width="16.5703125" customWidth="1"/>
    <col min="745" max="745" width="83.85546875" customWidth="1"/>
    <col min="995" max="995" width="2.5703125" customWidth="1"/>
    <col min="996" max="996" width="24.42578125" customWidth="1"/>
    <col min="997" max="997" width="32.140625" customWidth="1"/>
    <col min="998" max="1000" width="16.5703125" customWidth="1"/>
    <col min="1001" max="1001" width="83.85546875" customWidth="1"/>
    <col min="1251" max="1251" width="2.5703125" customWidth="1"/>
    <col min="1252" max="1252" width="24.42578125" customWidth="1"/>
    <col min="1253" max="1253" width="32.140625" customWidth="1"/>
    <col min="1254" max="1256" width="16.5703125" customWidth="1"/>
    <col min="1257" max="1257" width="83.85546875" customWidth="1"/>
    <col min="1507" max="1507" width="2.5703125" customWidth="1"/>
    <col min="1508" max="1508" width="24.42578125" customWidth="1"/>
    <col min="1509" max="1509" width="32.140625" customWidth="1"/>
    <col min="1510" max="1512" width="16.5703125" customWidth="1"/>
    <col min="1513" max="1513" width="83.85546875" customWidth="1"/>
    <col min="1763" max="1763" width="2.5703125" customWidth="1"/>
    <col min="1764" max="1764" width="24.42578125" customWidth="1"/>
    <col min="1765" max="1765" width="32.140625" customWidth="1"/>
    <col min="1766" max="1768" width="16.5703125" customWidth="1"/>
    <col min="1769" max="1769" width="83.85546875" customWidth="1"/>
    <col min="2019" max="2019" width="2.5703125" customWidth="1"/>
    <col min="2020" max="2020" width="24.42578125" customWidth="1"/>
    <col min="2021" max="2021" width="32.140625" customWidth="1"/>
    <col min="2022" max="2024" width="16.5703125" customWidth="1"/>
    <col min="2025" max="2025" width="83.85546875" customWidth="1"/>
    <col min="2275" max="2275" width="2.5703125" customWidth="1"/>
    <col min="2276" max="2276" width="24.42578125" customWidth="1"/>
    <col min="2277" max="2277" width="32.140625" customWidth="1"/>
    <col min="2278" max="2280" width="16.5703125" customWidth="1"/>
    <col min="2281" max="2281" width="83.85546875" customWidth="1"/>
    <col min="2531" max="2531" width="2.5703125" customWidth="1"/>
    <col min="2532" max="2532" width="24.42578125" customWidth="1"/>
    <col min="2533" max="2533" width="32.140625" customWidth="1"/>
    <col min="2534" max="2536" width="16.5703125" customWidth="1"/>
    <col min="2537" max="2537" width="83.85546875" customWidth="1"/>
    <col min="2787" max="2787" width="2.5703125" customWidth="1"/>
    <col min="2788" max="2788" width="24.42578125" customWidth="1"/>
    <col min="2789" max="2789" width="32.140625" customWidth="1"/>
    <col min="2790" max="2792" width="16.5703125" customWidth="1"/>
    <col min="2793" max="2793" width="83.85546875" customWidth="1"/>
    <col min="3043" max="3043" width="2.5703125" customWidth="1"/>
    <col min="3044" max="3044" width="24.42578125" customWidth="1"/>
    <col min="3045" max="3045" width="32.140625" customWidth="1"/>
    <col min="3046" max="3048" width="16.5703125" customWidth="1"/>
    <col min="3049" max="3049" width="83.85546875" customWidth="1"/>
    <col min="3299" max="3299" width="2.5703125" customWidth="1"/>
    <col min="3300" max="3300" width="24.42578125" customWidth="1"/>
    <col min="3301" max="3301" width="32.140625" customWidth="1"/>
    <col min="3302" max="3304" width="16.5703125" customWidth="1"/>
    <col min="3305" max="3305" width="83.85546875" customWidth="1"/>
    <col min="3555" max="3555" width="2.5703125" customWidth="1"/>
    <col min="3556" max="3556" width="24.42578125" customWidth="1"/>
    <col min="3557" max="3557" width="32.140625" customWidth="1"/>
    <col min="3558" max="3560" width="16.5703125" customWidth="1"/>
    <col min="3561" max="3561" width="83.85546875" customWidth="1"/>
    <col min="3811" max="3811" width="2.5703125" customWidth="1"/>
    <col min="3812" max="3812" width="24.42578125" customWidth="1"/>
    <col min="3813" max="3813" width="32.140625" customWidth="1"/>
    <col min="3814" max="3816" width="16.5703125" customWidth="1"/>
    <col min="3817" max="3817" width="83.85546875" customWidth="1"/>
    <col min="4067" max="4067" width="2.5703125" customWidth="1"/>
    <col min="4068" max="4068" width="24.42578125" customWidth="1"/>
    <col min="4069" max="4069" width="32.140625" customWidth="1"/>
    <col min="4070" max="4072" width="16.5703125" customWidth="1"/>
    <col min="4073" max="4073" width="83.85546875" customWidth="1"/>
    <col min="4323" max="4323" width="2.5703125" customWidth="1"/>
    <col min="4324" max="4324" width="24.42578125" customWidth="1"/>
    <col min="4325" max="4325" width="32.140625" customWidth="1"/>
    <col min="4326" max="4328" width="16.5703125" customWidth="1"/>
    <col min="4329" max="4329" width="83.85546875" customWidth="1"/>
    <col min="4579" max="4579" width="2.5703125" customWidth="1"/>
    <col min="4580" max="4580" width="24.42578125" customWidth="1"/>
    <col min="4581" max="4581" width="32.140625" customWidth="1"/>
    <col min="4582" max="4584" width="16.5703125" customWidth="1"/>
    <col min="4585" max="4585" width="83.85546875" customWidth="1"/>
    <col min="4835" max="4835" width="2.5703125" customWidth="1"/>
    <col min="4836" max="4836" width="24.42578125" customWidth="1"/>
    <col min="4837" max="4837" width="32.140625" customWidth="1"/>
    <col min="4838" max="4840" width="16.5703125" customWidth="1"/>
    <col min="4841" max="4841" width="83.85546875" customWidth="1"/>
    <col min="5091" max="5091" width="2.5703125" customWidth="1"/>
    <col min="5092" max="5092" width="24.42578125" customWidth="1"/>
    <col min="5093" max="5093" width="32.140625" customWidth="1"/>
    <col min="5094" max="5096" width="16.5703125" customWidth="1"/>
    <col min="5097" max="5097" width="83.85546875" customWidth="1"/>
    <col min="5347" max="5347" width="2.5703125" customWidth="1"/>
    <col min="5348" max="5348" width="24.42578125" customWidth="1"/>
    <col min="5349" max="5349" width="32.140625" customWidth="1"/>
    <col min="5350" max="5352" width="16.5703125" customWidth="1"/>
    <col min="5353" max="5353" width="83.85546875" customWidth="1"/>
    <col min="5603" max="5603" width="2.5703125" customWidth="1"/>
    <col min="5604" max="5604" width="24.42578125" customWidth="1"/>
    <col min="5605" max="5605" width="32.140625" customWidth="1"/>
    <col min="5606" max="5608" width="16.5703125" customWidth="1"/>
    <col min="5609" max="5609" width="83.85546875" customWidth="1"/>
    <col min="5859" max="5859" width="2.5703125" customWidth="1"/>
    <col min="5860" max="5860" width="24.42578125" customWidth="1"/>
    <col min="5861" max="5861" width="32.140625" customWidth="1"/>
    <col min="5862" max="5864" width="16.5703125" customWidth="1"/>
    <col min="5865" max="5865" width="83.85546875" customWidth="1"/>
    <col min="6115" max="6115" width="2.5703125" customWidth="1"/>
    <col min="6116" max="6116" width="24.42578125" customWidth="1"/>
    <col min="6117" max="6117" width="32.140625" customWidth="1"/>
    <col min="6118" max="6120" width="16.5703125" customWidth="1"/>
    <col min="6121" max="6121" width="83.85546875" customWidth="1"/>
    <col min="6371" max="6371" width="2.5703125" customWidth="1"/>
    <col min="6372" max="6372" width="24.42578125" customWidth="1"/>
    <col min="6373" max="6373" width="32.140625" customWidth="1"/>
    <col min="6374" max="6376" width="16.5703125" customWidth="1"/>
    <col min="6377" max="6377" width="83.85546875" customWidth="1"/>
    <col min="6627" max="6627" width="2.5703125" customWidth="1"/>
    <col min="6628" max="6628" width="24.42578125" customWidth="1"/>
    <col min="6629" max="6629" width="32.140625" customWidth="1"/>
    <col min="6630" max="6632" width="16.5703125" customWidth="1"/>
    <col min="6633" max="6633" width="83.85546875" customWidth="1"/>
    <col min="6883" max="6883" width="2.5703125" customWidth="1"/>
    <col min="6884" max="6884" width="24.42578125" customWidth="1"/>
    <col min="6885" max="6885" width="32.140625" customWidth="1"/>
    <col min="6886" max="6888" width="16.5703125" customWidth="1"/>
    <col min="6889" max="6889" width="83.85546875" customWidth="1"/>
    <col min="7139" max="7139" width="2.5703125" customWidth="1"/>
    <col min="7140" max="7140" width="24.42578125" customWidth="1"/>
    <col min="7141" max="7141" width="32.140625" customWidth="1"/>
    <col min="7142" max="7144" width="16.5703125" customWidth="1"/>
    <col min="7145" max="7145" width="83.85546875" customWidth="1"/>
    <col min="7395" max="7395" width="2.5703125" customWidth="1"/>
    <col min="7396" max="7396" width="24.42578125" customWidth="1"/>
    <col min="7397" max="7397" width="32.140625" customWidth="1"/>
    <col min="7398" max="7400" width="16.5703125" customWidth="1"/>
    <col min="7401" max="7401" width="83.85546875" customWidth="1"/>
    <col min="7651" max="7651" width="2.5703125" customWidth="1"/>
    <col min="7652" max="7652" width="24.42578125" customWidth="1"/>
    <col min="7653" max="7653" width="32.140625" customWidth="1"/>
    <col min="7654" max="7656" width="16.5703125" customWidth="1"/>
    <col min="7657" max="7657" width="83.85546875" customWidth="1"/>
    <col min="7907" max="7907" width="2.5703125" customWidth="1"/>
    <col min="7908" max="7908" width="24.42578125" customWidth="1"/>
    <col min="7909" max="7909" width="32.140625" customWidth="1"/>
    <col min="7910" max="7912" width="16.5703125" customWidth="1"/>
    <col min="7913" max="7913" width="83.85546875" customWidth="1"/>
    <col min="8163" max="8163" width="2.5703125" customWidth="1"/>
    <col min="8164" max="8164" width="24.42578125" customWidth="1"/>
    <col min="8165" max="8165" width="32.140625" customWidth="1"/>
    <col min="8166" max="8168" width="16.5703125" customWidth="1"/>
    <col min="8169" max="8169" width="83.85546875" customWidth="1"/>
    <col min="8419" max="8419" width="2.5703125" customWidth="1"/>
    <col min="8420" max="8420" width="24.42578125" customWidth="1"/>
    <col min="8421" max="8421" width="32.140625" customWidth="1"/>
    <col min="8422" max="8424" width="16.5703125" customWidth="1"/>
    <col min="8425" max="8425" width="83.85546875" customWidth="1"/>
    <col min="8675" max="8675" width="2.5703125" customWidth="1"/>
    <col min="8676" max="8676" width="24.42578125" customWidth="1"/>
    <col min="8677" max="8677" width="32.140625" customWidth="1"/>
    <col min="8678" max="8680" width="16.5703125" customWidth="1"/>
    <col min="8681" max="8681" width="83.85546875" customWidth="1"/>
    <col min="8931" max="8931" width="2.5703125" customWidth="1"/>
    <col min="8932" max="8932" width="24.42578125" customWidth="1"/>
    <col min="8933" max="8933" width="32.140625" customWidth="1"/>
    <col min="8934" max="8936" width="16.5703125" customWidth="1"/>
    <col min="8937" max="8937" width="83.85546875" customWidth="1"/>
    <col min="9187" max="9187" width="2.5703125" customWidth="1"/>
    <col min="9188" max="9188" width="24.42578125" customWidth="1"/>
    <col min="9189" max="9189" width="32.140625" customWidth="1"/>
    <col min="9190" max="9192" width="16.5703125" customWidth="1"/>
    <col min="9193" max="9193" width="83.85546875" customWidth="1"/>
    <col min="9443" max="9443" width="2.5703125" customWidth="1"/>
    <col min="9444" max="9444" width="24.42578125" customWidth="1"/>
    <col min="9445" max="9445" width="32.140625" customWidth="1"/>
    <col min="9446" max="9448" width="16.5703125" customWidth="1"/>
    <col min="9449" max="9449" width="83.85546875" customWidth="1"/>
    <col min="9699" max="9699" width="2.5703125" customWidth="1"/>
    <col min="9700" max="9700" width="24.42578125" customWidth="1"/>
    <col min="9701" max="9701" width="32.140625" customWidth="1"/>
    <col min="9702" max="9704" width="16.5703125" customWidth="1"/>
    <col min="9705" max="9705" width="83.85546875" customWidth="1"/>
    <col min="9955" max="9955" width="2.5703125" customWidth="1"/>
    <col min="9956" max="9956" width="24.42578125" customWidth="1"/>
    <col min="9957" max="9957" width="32.140625" customWidth="1"/>
    <col min="9958" max="9960" width="16.5703125" customWidth="1"/>
    <col min="9961" max="9961" width="83.85546875" customWidth="1"/>
    <col min="10211" max="10211" width="2.5703125" customWidth="1"/>
    <col min="10212" max="10212" width="24.42578125" customWidth="1"/>
    <col min="10213" max="10213" width="32.140625" customWidth="1"/>
    <col min="10214" max="10216" width="16.5703125" customWidth="1"/>
    <col min="10217" max="10217" width="83.85546875" customWidth="1"/>
    <col min="10467" max="10467" width="2.5703125" customWidth="1"/>
    <col min="10468" max="10468" width="24.42578125" customWidth="1"/>
    <col min="10469" max="10469" width="32.140625" customWidth="1"/>
    <col min="10470" max="10472" width="16.5703125" customWidth="1"/>
    <col min="10473" max="10473" width="83.85546875" customWidth="1"/>
    <col min="10723" max="10723" width="2.5703125" customWidth="1"/>
    <col min="10724" max="10724" width="24.42578125" customWidth="1"/>
    <col min="10725" max="10725" width="32.140625" customWidth="1"/>
    <col min="10726" max="10728" width="16.5703125" customWidth="1"/>
    <col min="10729" max="10729" width="83.85546875" customWidth="1"/>
    <col min="10979" max="10979" width="2.5703125" customWidth="1"/>
    <col min="10980" max="10980" width="24.42578125" customWidth="1"/>
    <col min="10981" max="10981" width="32.140625" customWidth="1"/>
    <col min="10982" max="10984" width="16.5703125" customWidth="1"/>
    <col min="10985" max="10985" width="83.85546875" customWidth="1"/>
    <col min="11235" max="11235" width="2.5703125" customWidth="1"/>
    <col min="11236" max="11236" width="24.42578125" customWidth="1"/>
    <col min="11237" max="11237" width="32.140625" customWidth="1"/>
    <col min="11238" max="11240" width="16.5703125" customWidth="1"/>
    <col min="11241" max="11241" width="83.85546875" customWidth="1"/>
    <col min="11491" max="11491" width="2.5703125" customWidth="1"/>
    <col min="11492" max="11492" width="24.42578125" customWidth="1"/>
    <col min="11493" max="11493" width="32.140625" customWidth="1"/>
    <col min="11494" max="11496" width="16.5703125" customWidth="1"/>
    <col min="11497" max="11497" width="83.85546875" customWidth="1"/>
    <col min="11747" max="11747" width="2.5703125" customWidth="1"/>
    <col min="11748" max="11748" width="24.42578125" customWidth="1"/>
    <col min="11749" max="11749" width="32.140625" customWidth="1"/>
    <col min="11750" max="11752" width="16.5703125" customWidth="1"/>
    <col min="11753" max="11753" width="83.85546875" customWidth="1"/>
    <col min="12003" max="12003" width="2.5703125" customWidth="1"/>
    <col min="12004" max="12004" width="24.42578125" customWidth="1"/>
    <col min="12005" max="12005" width="32.140625" customWidth="1"/>
    <col min="12006" max="12008" width="16.5703125" customWidth="1"/>
    <col min="12009" max="12009" width="83.85546875" customWidth="1"/>
    <col min="12259" max="12259" width="2.5703125" customWidth="1"/>
    <col min="12260" max="12260" width="24.42578125" customWidth="1"/>
    <col min="12261" max="12261" width="32.140625" customWidth="1"/>
    <col min="12262" max="12264" width="16.5703125" customWidth="1"/>
    <col min="12265" max="12265" width="83.85546875" customWidth="1"/>
    <col min="12515" max="12515" width="2.5703125" customWidth="1"/>
    <col min="12516" max="12516" width="24.42578125" customWidth="1"/>
    <col min="12517" max="12517" width="32.140625" customWidth="1"/>
    <col min="12518" max="12520" width="16.5703125" customWidth="1"/>
    <col min="12521" max="12521" width="83.85546875" customWidth="1"/>
    <col min="12771" max="12771" width="2.5703125" customWidth="1"/>
    <col min="12772" max="12772" width="24.42578125" customWidth="1"/>
    <col min="12773" max="12773" width="32.140625" customWidth="1"/>
    <col min="12774" max="12776" width="16.5703125" customWidth="1"/>
    <col min="12777" max="12777" width="83.85546875" customWidth="1"/>
    <col min="13027" max="13027" width="2.5703125" customWidth="1"/>
    <col min="13028" max="13028" width="24.42578125" customWidth="1"/>
    <col min="13029" max="13029" width="32.140625" customWidth="1"/>
    <col min="13030" max="13032" width="16.5703125" customWidth="1"/>
    <col min="13033" max="13033" width="83.85546875" customWidth="1"/>
    <col min="13283" max="13283" width="2.5703125" customWidth="1"/>
    <col min="13284" max="13284" width="24.42578125" customWidth="1"/>
    <col min="13285" max="13285" width="32.140625" customWidth="1"/>
    <col min="13286" max="13288" width="16.5703125" customWidth="1"/>
    <col min="13289" max="13289" width="83.85546875" customWidth="1"/>
    <col min="13539" max="13539" width="2.5703125" customWidth="1"/>
    <col min="13540" max="13540" width="24.42578125" customWidth="1"/>
    <col min="13541" max="13541" width="32.140625" customWidth="1"/>
    <col min="13542" max="13544" width="16.5703125" customWidth="1"/>
    <col min="13545" max="13545" width="83.85546875" customWidth="1"/>
    <col min="13795" max="13795" width="2.5703125" customWidth="1"/>
    <col min="13796" max="13796" width="24.42578125" customWidth="1"/>
    <col min="13797" max="13797" width="32.140625" customWidth="1"/>
    <col min="13798" max="13800" width="16.5703125" customWidth="1"/>
    <col min="13801" max="13801" width="83.85546875" customWidth="1"/>
    <col min="14051" max="14051" width="2.5703125" customWidth="1"/>
    <col min="14052" max="14052" width="24.42578125" customWidth="1"/>
    <col min="14053" max="14053" width="32.140625" customWidth="1"/>
    <col min="14054" max="14056" width="16.5703125" customWidth="1"/>
    <col min="14057" max="14057" width="83.85546875" customWidth="1"/>
    <col min="14307" max="14307" width="2.5703125" customWidth="1"/>
    <col min="14308" max="14308" width="24.42578125" customWidth="1"/>
    <col min="14309" max="14309" width="32.140625" customWidth="1"/>
    <col min="14310" max="14312" width="16.5703125" customWidth="1"/>
    <col min="14313" max="14313" width="83.85546875" customWidth="1"/>
    <col min="14563" max="14563" width="2.5703125" customWidth="1"/>
    <col min="14564" max="14564" width="24.42578125" customWidth="1"/>
    <col min="14565" max="14565" width="32.140625" customWidth="1"/>
    <col min="14566" max="14568" width="16.5703125" customWidth="1"/>
    <col min="14569" max="14569" width="83.85546875" customWidth="1"/>
    <col min="14819" max="14819" width="2.5703125" customWidth="1"/>
    <col min="14820" max="14820" width="24.42578125" customWidth="1"/>
    <col min="14821" max="14821" width="32.140625" customWidth="1"/>
    <col min="14822" max="14824" width="16.5703125" customWidth="1"/>
    <col min="14825" max="14825" width="83.85546875" customWidth="1"/>
    <col min="15075" max="15075" width="2.5703125" customWidth="1"/>
    <col min="15076" max="15076" width="24.42578125" customWidth="1"/>
    <col min="15077" max="15077" width="32.140625" customWidth="1"/>
    <col min="15078" max="15080" width="16.5703125" customWidth="1"/>
    <col min="15081" max="15081" width="83.85546875" customWidth="1"/>
    <col min="15331" max="15331" width="2.5703125" customWidth="1"/>
    <col min="15332" max="15332" width="24.42578125" customWidth="1"/>
    <col min="15333" max="15333" width="32.140625" customWidth="1"/>
    <col min="15334" max="15336" width="16.5703125" customWidth="1"/>
    <col min="15337" max="15337" width="83.85546875" customWidth="1"/>
    <col min="15587" max="15587" width="2.5703125" customWidth="1"/>
    <col min="15588" max="15588" width="24.42578125" customWidth="1"/>
    <col min="15589" max="15589" width="32.140625" customWidth="1"/>
    <col min="15590" max="15592" width="16.5703125" customWidth="1"/>
    <col min="15593" max="15593" width="83.85546875" customWidth="1"/>
    <col min="15843" max="15843" width="2.5703125" customWidth="1"/>
    <col min="15844" max="15844" width="24.42578125" customWidth="1"/>
    <col min="15845" max="15845" width="32.140625" customWidth="1"/>
    <col min="15846" max="15848" width="16.5703125" customWidth="1"/>
    <col min="15849" max="15849" width="83.85546875" customWidth="1"/>
    <col min="16099" max="16099" width="2.5703125" customWidth="1"/>
    <col min="16100" max="16100" width="24.42578125" customWidth="1"/>
    <col min="16101" max="16101" width="32.140625" customWidth="1"/>
    <col min="16102" max="16104" width="16.5703125" customWidth="1"/>
    <col min="16105" max="16105" width="83.85546875" customWidth="1"/>
  </cols>
  <sheetData>
    <row r="1" spans="1:32" s="3" customFormat="1" ht="20.25" x14ac:dyDescent="0.3">
      <c r="A1" s="424" t="s">
        <v>13</v>
      </c>
      <c r="B1" s="424"/>
      <c r="C1" s="424"/>
      <c r="D1" s="424"/>
      <c r="E1" s="424"/>
      <c r="F1" s="424"/>
      <c r="G1" s="424"/>
      <c r="H1" s="424"/>
      <c r="I1" s="424"/>
      <c r="J1" s="424"/>
      <c r="K1" s="424"/>
      <c r="L1" s="424"/>
      <c r="M1" s="424"/>
      <c r="N1" s="424"/>
      <c r="O1" s="424"/>
      <c r="P1" s="424"/>
      <c r="Q1" s="424"/>
      <c r="R1" s="424"/>
    </row>
    <row r="2" spans="1:32" s="3" customFormat="1" ht="21" thickBot="1" x14ac:dyDescent="0.35">
      <c r="A2" s="192"/>
      <c r="B2" s="238"/>
      <c r="C2" s="192"/>
      <c r="D2" s="192"/>
      <c r="E2" s="192"/>
      <c r="F2" s="192"/>
      <c r="G2" s="192"/>
      <c r="H2" s="231"/>
      <c r="I2" s="231"/>
      <c r="J2" s="231"/>
      <c r="K2" s="231"/>
      <c r="L2" s="231"/>
      <c r="M2" s="231"/>
      <c r="N2" s="231"/>
      <c r="O2" s="231"/>
      <c r="P2" s="192"/>
      <c r="Q2" s="192"/>
      <c r="R2" s="192"/>
    </row>
    <row r="3" spans="1:32" s="3" customFormat="1" ht="15" customHeight="1" x14ac:dyDescent="0.3">
      <c r="A3" s="192"/>
      <c r="B3" s="238"/>
      <c r="C3" s="425" t="s">
        <v>57</v>
      </c>
      <c r="D3" s="206" t="s">
        <v>322</v>
      </c>
      <c r="E3" s="427" t="s">
        <v>323</v>
      </c>
      <c r="F3" s="428"/>
      <c r="G3" s="428"/>
      <c r="H3" s="428"/>
      <c r="I3" s="428"/>
      <c r="J3" s="428"/>
      <c r="K3" s="428"/>
      <c r="L3" s="428"/>
      <c r="M3" s="428"/>
      <c r="N3" s="428"/>
      <c r="O3" s="428"/>
      <c r="P3" s="429"/>
      <c r="Q3" s="430" t="s">
        <v>324</v>
      </c>
      <c r="R3" s="192"/>
      <c r="T3" s="3" t="s">
        <v>57</v>
      </c>
      <c r="U3" s="3" t="s">
        <v>323</v>
      </c>
    </row>
    <row r="4" spans="1:32" ht="15" customHeight="1" x14ac:dyDescent="0.25">
      <c r="A4">
        <v>1</v>
      </c>
      <c r="C4" s="426"/>
      <c r="D4" s="207">
        <v>1</v>
      </c>
      <c r="E4" s="208">
        <v>1</v>
      </c>
      <c r="F4" s="209">
        <v>2</v>
      </c>
      <c r="G4" s="208">
        <v>3</v>
      </c>
      <c r="H4" s="242">
        <v>4</v>
      </c>
      <c r="I4" s="242">
        <v>5</v>
      </c>
      <c r="J4" s="242">
        <v>6</v>
      </c>
      <c r="K4" s="242">
        <v>7</v>
      </c>
      <c r="L4" s="242">
        <v>8</v>
      </c>
      <c r="M4" s="242">
        <v>9</v>
      </c>
      <c r="N4" s="242">
        <v>10</v>
      </c>
      <c r="O4" s="242">
        <v>11</v>
      </c>
      <c r="P4" s="209">
        <v>12</v>
      </c>
      <c r="Q4" s="431"/>
      <c r="U4">
        <v>1</v>
      </c>
      <c r="V4">
        <v>2</v>
      </c>
      <c r="W4">
        <v>3</v>
      </c>
      <c r="X4">
        <v>4</v>
      </c>
      <c r="Y4">
        <v>5</v>
      </c>
      <c r="Z4">
        <v>6</v>
      </c>
      <c r="AA4">
        <v>7</v>
      </c>
      <c r="AB4">
        <v>8</v>
      </c>
      <c r="AC4">
        <v>9</v>
      </c>
      <c r="AD4">
        <v>10</v>
      </c>
      <c r="AE4">
        <v>11</v>
      </c>
      <c r="AF4">
        <v>12</v>
      </c>
    </row>
    <row r="5" spans="1:32" ht="15" customHeight="1" x14ac:dyDescent="0.25">
      <c r="A5">
        <f>A4+1</f>
        <v>2</v>
      </c>
      <c r="C5" s="426"/>
      <c r="D5" s="210" t="str">
        <f>E5</f>
        <v>concrete_production</v>
      </c>
      <c r="E5" s="432" t="str">
        <f>'Data Summary'!D4</f>
        <v>concrete_production</v>
      </c>
      <c r="F5" s="433"/>
      <c r="G5" s="433"/>
      <c r="H5" s="433"/>
      <c r="I5" s="433"/>
      <c r="J5" s="433"/>
      <c r="K5" s="433"/>
      <c r="L5" s="433"/>
      <c r="M5" s="433"/>
      <c r="N5" s="433"/>
      <c r="O5" s="433"/>
      <c r="P5" s="434"/>
      <c r="Q5" s="431"/>
      <c r="U5" t="s">
        <v>833</v>
      </c>
    </row>
    <row r="6" spans="1:32" x14ac:dyDescent="0.25">
      <c r="A6">
        <f t="shared" ref="A6:A67" si="0">A5+1</f>
        <v>3</v>
      </c>
      <c r="C6" s="426"/>
      <c r="D6" s="211" t="str">
        <f>HLOOKUP($D$4,$E$4:$P$221,3,FALSE)</f>
        <v>Precast Mix 1</v>
      </c>
      <c r="E6" s="212" t="s">
        <v>336</v>
      </c>
      <c r="F6" s="343" t="s">
        <v>337</v>
      </c>
      <c r="G6" s="343" t="s">
        <v>338</v>
      </c>
      <c r="H6" s="343" t="s">
        <v>403</v>
      </c>
      <c r="I6" s="343" t="s">
        <v>404</v>
      </c>
      <c r="J6" s="343" t="s">
        <v>405</v>
      </c>
      <c r="K6" s="343" t="s">
        <v>406</v>
      </c>
      <c r="L6" s="343" t="s">
        <v>407</v>
      </c>
      <c r="M6" s="343" t="s">
        <v>408</v>
      </c>
      <c r="N6" s="343" t="s">
        <v>409</v>
      </c>
      <c r="O6" s="343" t="s">
        <v>724</v>
      </c>
      <c r="P6" s="213" t="s">
        <v>837</v>
      </c>
      <c r="Q6" s="431"/>
      <c r="U6" t="s">
        <v>336</v>
      </c>
      <c r="V6" t="s">
        <v>337</v>
      </c>
      <c r="W6" t="s">
        <v>338</v>
      </c>
      <c r="X6" t="s">
        <v>403</v>
      </c>
      <c r="Y6" t="s">
        <v>404</v>
      </c>
      <c r="Z6" t="s">
        <v>405</v>
      </c>
      <c r="AA6" t="s">
        <v>406</v>
      </c>
      <c r="AB6" t="s">
        <v>407</v>
      </c>
      <c r="AC6" t="s">
        <v>408</v>
      </c>
      <c r="AD6" t="s">
        <v>409</v>
      </c>
      <c r="AE6" t="s">
        <v>724</v>
      </c>
      <c r="AF6" t="s">
        <v>837</v>
      </c>
    </row>
    <row r="7" spans="1:32" x14ac:dyDescent="0.25">
      <c r="A7">
        <f t="shared" si="0"/>
        <v>4</v>
      </c>
      <c r="C7" s="214" t="s">
        <v>415</v>
      </c>
      <c r="D7" s="215">
        <f t="shared" ref="D7:D16" si="1">HLOOKUP($D$4,$E$4:$P$221,A7,FALSE)</f>
        <v>1</v>
      </c>
      <c r="E7" s="80">
        <f>'Concrete Mix'!B3</f>
        <v>1</v>
      </c>
      <c r="F7" s="80">
        <f>'Concrete Mix'!C3</f>
        <v>1</v>
      </c>
      <c r="G7" s="80">
        <f>'Concrete Mix'!D3</f>
        <v>1</v>
      </c>
      <c r="H7" s="80">
        <f>'Concrete Mix'!E3</f>
        <v>2</v>
      </c>
      <c r="I7" s="80">
        <f>'Concrete Mix'!F3</f>
        <v>2</v>
      </c>
      <c r="J7" s="80">
        <f>'Concrete Mix'!G3</f>
        <v>2</v>
      </c>
      <c r="K7" s="80">
        <f>'Concrete Mix'!H3</f>
        <v>2</v>
      </c>
      <c r="L7" s="80">
        <f>'Concrete Mix'!I3</f>
        <v>2</v>
      </c>
      <c r="M7" s="80">
        <f>'Concrete Mix'!J3</f>
        <v>2</v>
      </c>
      <c r="N7" s="80">
        <f>'Concrete Mix'!K3</f>
        <v>2</v>
      </c>
      <c r="O7" s="80">
        <f>'Concrete Mix'!L3</f>
        <v>3</v>
      </c>
      <c r="P7" s="80">
        <f>'Concrete Mix'!M3</f>
        <v>0</v>
      </c>
      <c r="Q7" s="216" t="s">
        <v>416</v>
      </c>
      <c r="T7" t="s">
        <v>764</v>
      </c>
      <c r="U7">
        <v>1.8924430229125078E-7</v>
      </c>
      <c r="V7">
        <v>1.6077214740054281E-7</v>
      </c>
      <c r="W7">
        <v>1.4306291783604289E-7</v>
      </c>
      <c r="X7">
        <v>1.215413958398073E-7</v>
      </c>
      <c r="Y7">
        <v>1.007987171342729E-7</v>
      </c>
      <c r="Z7">
        <v>8.2650338542584356E-8</v>
      </c>
      <c r="AA7">
        <v>6.6342648426558745E-8</v>
      </c>
      <c r="AB7">
        <v>6.189509657673358E-8</v>
      </c>
      <c r="AC7">
        <v>5.3741251518720769E-8</v>
      </c>
      <c r="AD7">
        <v>4.1510483931701558E-8</v>
      </c>
      <c r="AE7">
        <v>7.5037181044800016E-8</v>
      </c>
      <c r="AF7" t="e">
        <v>#DIV/0!</v>
      </c>
    </row>
    <row r="8" spans="1:32" ht="15" customHeight="1" x14ac:dyDescent="0.25">
      <c r="A8">
        <f t="shared" si="0"/>
        <v>5</v>
      </c>
      <c r="C8" s="214" t="s">
        <v>1053</v>
      </c>
      <c r="D8" s="215">
        <f t="shared" si="1"/>
        <v>504</v>
      </c>
      <c r="E8" s="80">
        <f>'Concrete Mix'!B6</f>
        <v>504</v>
      </c>
      <c r="F8" s="80">
        <f>'Concrete Mix'!C6</f>
        <v>445</v>
      </c>
      <c r="G8" s="80">
        <f>'Concrete Mix'!D6</f>
        <v>386</v>
      </c>
      <c r="H8" s="80">
        <f>'Concrete Mix'!E6</f>
        <v>335</v>
      </c>
      <c r="I8" s="80">
        <f>'Concrete Mix'!F6</f>
        <v>279</v>
      </c>
      <c r="J8" s="80">
        <f>'Concrete Mix'!G6</f>
        <v>223</v>
      </c>
      <c r="K8" s="80">
        <f>'Concrete Mix'!H6</f>
        <v>179</v>
      </c>
      <c r="L8" s="80">
        <f>'Concrete Mix'!I6</f>
        <v>167</v>
      </c>
      <c r="M8" s="80">
        <f>'Concrete Mix'!J6</f>
        <v>145</v>
      </c>
      <c r="N8" s="80">
        <f>'Concrete Mix'!K6</f>
        <v>112</v>
      </c>
      <c r="O8" s="80">
        <f>'Concrete Mix'!L6</f>
        <v>159</v>
      </c>
      <c r="P8" s="80">
        <f>'Concrete Mix'!M6</f>
        <v>0</v>
      </c>
      <c r="Q8" s="216" t="s">
        <v>777</v>
      </c>
      <c r="T8" t="s">
        <v>765</v>
      </c>
      <c r="U8">
        <v>2.0849831681005046E-7</v>
      </c>
      <c r="V8">
        <v>1.7712935986501427E-7</v>
      </c>
      <c r="W8">
        <v>1.5761836528553981E-7</v>
      </c>
      <c r="X8">
        <v>1.3390720961492046E-7</v>
      </c>
      <c r="Y8">
        <v>1.1105413798278422E-7</v>
      </c>
      <c r="Z8">
        <v>9.1059314659780772E-8</v>
      </c>
      <c r="AA8">
        <v>7.3092454368164839E-8</v>
      </c>
      <c r="AB8">
        <v>6.8192401561360503E-8</v>
      </c>
      <c r="AC8">
        <v>5.9208971415552523E-8</v>
      </c>
      <c r="AD8">
        <v>4.5733826196840566E-8</v>
      </c>
      <c r="AE8">
        <v>8.2671582481430081E-8</v>
      </c>
      <c r="AF8" t="e">
        <v>#DIV/0!</v>
      </c>
    </row>
    <row r="9" spans="1:32" ht="15" customHeight="1" x14ac:dyDescent="0.25">
      <c r="A9">
        <f t="shared" si="0"/>
        <v>6</v>
      </c>
      <c r="C9" s="217" t="s">
        <v>1054</v>
      </c>
      <c r="D9" s="215">
        <f t="shared" si="1"/>
        <v>0</v>
      </c>
      <c r="E9" s="80">
        <f>'Concrete Mix'!B7</f>
        <v>0</v>
      </c>
      <c r="F9" s="80">
        <f>'Concrete Mix'!C7</f>
        <v>56</v>
      </c>
      <c r="G9" s="80">
        <f>'Concrete Mix'!D7</f>
        <v>0</v>
      </c>
      <c r="H9" s="80">
        <f>'Concrete Mix'!E7</f>
        <v>0</v>
      </c>
      <c r="I9" s="80">
        <f>'Concrete Mix'!F7</f>
        <v>0</v>
      </c>
      <c r="J9" s="80">
        <f>'Concrete Mix'!G7</f>
        <v>0</v>
      </c>
      <c r="K9" s="80">
        <f>'Concrete Mix'!H7</f>
        <v>0</v>
      </c>
      <c r="L9" s="80">
        <f>'Concrete Mix'!I7</f>
        <v>0</v>
      </c>
      <c r="M9" s="80">
        <f>'Concrete Mix'!J7</f>
        <v>0</v>
      </c>
      <c r="N9" s="80">
        <f>'Concrete Mix'!K7</f>
        <v>0</v>
      </c>
      <c r="O9" s="80">
        <f>'Concrete Mix'!L7</f>
        <v>0</v>
      </c>
      <c r="P9" s="80">
        <f>'Concrete Mix'!M7</f>
        <v>0</v>
      </c>
      <c r="Q9" s="216" t="s">
        <v>778</v>
      </c>
      <c r="T9" t="s">
        <v>309</v>
      </c>
      <c r="U9">
        <v>1.7207501826350396E-10</v>
      </c>
      <c r="V9">
        <v>1.7227192911667578E-10</v>
      </c>
      <c r="W9">
        <v>1.727516821896165E-10</v>
      </c>
      <c r="X9">
        <v>1.7159699201502445E-10</v>
      </c>
      <c r="Y9">
        <v>1.7177950649885845E-10</v>
      </c>
      <c r="Z9">
        <v>1.7196077023067804E-10</v>
      </c>
      <c r="AA9">
        <v>1.7196077023067804E-10</v>
      </c>
      <c r="AB9">
        <v>1.7196077023067804E-10</v>
      </c>
      <c r="AC9">
        <v>1.7196077023067804E-10</v>
      </c>
      <c r="AD9">
        <v>1.7196077023067804E-10</v>
      </c>
      <c r="AE9">
        <v>1.5757387814350951E-10</v>
      </c>
      <c r="AF9" t="e">
        <v>#N/A</v>
      </c>
    </row>
    <row r="10" spans="1:32" ht="15" customHeight="1" x14ac:dyDescent="0.25">
      <c r="A10">
        <f t="shared" si="0"/>
        <v>7</v>
      </c>
      <c r="C10" s="217" t="s">
        <v>452</v>
      </c>
      <c r="D10" s="215">
        <f t="shared" si="1"/>
        <v>0</v>
      </c>
      <c r="E10" s="80">
        <f>'Concrete Mix'!B8</f>
        <v>0</v>
      </c>
      <c r="F10" s="80">
        <f>'Concrete Mix'!C8</f>
        <v>0</v>
      </c>
      <c r="G10" s="80">
        <f>'Concrete Mix'!D8</f>
        <v>0</v>
      </c>
      <c r="H10" s="80">
        <f>'Concrete Mix'!E8</f>
        <v>0</v>
      </c>
      <c r="I10" s="80">
        <f>'Concrete Mix'!F8</f>
        <v>0</v>
      </c>
      <c r="J10" s="80">
        <f>'Concrete Mix'!G8</f>
        <v>0</v>
      </c>
      <c r="K10" s="80">
        <f>'Concrete Mix'!H8</f>
        <v>44</v>
      </c>
      <c r="L10" s="80">
        <f>'Concrete Mix'!I8</f>
        <v>56</v>
      </c>
      <c r="M10" s="80">
        <f>'Concrete Mix'!J8</f>
        <v>0</v>
      </c>
      <c r="N10" s="80">
        <f>'Concrete Mix'!K8</f>
        <v>0</v>
      </c>
      <c r="O10" s="80">
        <f>'Concrete Mix'!L8</f>
        <v>0</v>
      </c>
      <c r="P10" s="80">
        <f>'Concrete Mix'!M8</f>
        <v>0</v>
      </c>
      <c r="Q10" s="216" t="s">
        <v>779</v>
      </c>
      <c r="T10" t="s">
        <v>310</v>
      </c>
      <c r="U10">
        <v>1.8795392519442426E-11</v>
      </c>
      <c r="V10">
        <v>1.879953660529942E-11</v>
      </c>
      <c r="W10">
        <v>1.8809633244933028E-11</v>
      </c>
      <c r="X10">
        <v>2.2516750809778708E-11</v>
      </c>
      <c r="Y10">
        <v>2.252059186968118E-11</v>
      </c>
      <c r="Z10">
        <v>2.2524406607215643E-11</v>
      </c>
      <c r="AA10">
        <v>2.2524406607215643E-11</v>
      </c>
      <c r="AB10">
        <v>2.2524406607215643E-11</v>
      </c>
      <c r="AC10">
        <v>2.2524406607215643E-11</v>
      </c>
      <c r="AD10">
        <v>2.2524406607215643E-11</v>
      </c>
      <c r="AE10">
        <v>1.2829671561679454E-11</v>
      </c>
      <c r="AF10" t="e">
        <v>#N/A</v>
      </c>
    </row>
    <row r="11" spans="1:32" ht="15" customHeight="1" x14ac:dyDescent="0.25">
      <c r="A11">
        <f t="shared" si="0"/>
        <v>8</v>
      </c>
      <c r="C11" s="217" t="s">
        <v>453</v>
      </c>
      <c r="D11" s="215">
        <f t="shared" si="1"/>
        <v>0</v>
      </c>
      <c r="E11" s="80">
        <f>'Concrete Mix'!B9</f>
        <v>0</v>
      </c>
      <c r="F11" s="80">
        <f>'Concrete Mix'!C9</f>
        <v>0</v>
      </c>
      <c r="G11" s="80">
        <f>'Concrete Mix'!D9</f>
        <v>0</v>
      </c>
      <c r="H11" s="80">
        <f>'Concrete Mix'!E9</f>
        <v>0</v>
      </c>
      <c r="I11" s="80">
        <f>'Concrete Mix'!F9</f>
        <v>0</v>
      </c>
      <c r="J11" s="80">
        <f>'Concrete Mix'!G9</f>
        <v>0</v>
      </c>
      <c r="K11" s="80">
        <f>'Concrete Mix'!H9</f>
        <v>0</v>
      </c>
      <c r="L11" s="80">
        <f>'Concrete Mix'!I9</f>
        <v>0</v>
      </c>
      <c r="M11" s="80">
        <f>'Concrete Mix'!J9</f>
        <v>78</v>
      </c>
      <c r="N11" s="80">
        <f>'Concrete Mix'!K9</f>
        <v>112</v>
      </c>
      <c r="O11" s="80">
        <f>'Concrete Mix'!L9</f>
        <v>0</v>
      </c>
      <c r="P11" s="80">
        <f>'Concrete Mix'!M9</f>
        <v>0</v>
      </c>
      <c r="Q11" s="216" t="s">
        <v>780</v>
      </c>
      <c r="T11" t="s">
        <v>750</v>
      </c>
      <c r="U11">
        <v>0</v>
      </c>
      <c r="V11">
        <v>0</v>
      </c>
      <c r="W11">
        <v>0</v>
      </c>
      <c r="X11">
        <v>0</v>
      </c>
      <c r="Y11">
        <v>0</v>
      </c>
      <c r="Z11">
        <v>0</v>
      </c>
      <c r="AA11">
        <v>0</v>
      </c>
      <c r="AB11">
        <v>0</v>
      </c>
      <c r="AC11">
        <v>0</v>
      </c>
      <c r="AD11">
        <v>0</v>
      </c>
      <c r="AE11">
        <v>0</v>
      </c>
      <c r="AF11" t="e">
        <v>#DIV/0!</v>
      </c>
    </row>
    <row r="12" spans="1:32" ht="15" customHeight="1" x14ac:dyDescent="0.25">
      <c r="A12">
        <f t="shared" si="0"/>
        <v>9</v>
      </c>
      <c r="C12" s="217" t="s">
        <v>231</v>
      </c>
      <c r="D12" s="215">
        <f t="shared" si="1"/>
        <v>178</v>
      </c>
      <c r="E12" s="80">
        <f>'Concrete Mix'!B10</f>
        <v>178</v>
      </c>
      <c r="F12" s="80">
        <f>'Concrete Mix'!C10</f>
        <v>136</v>
      </c>
      <c r="G12" s="80">
        <f>'Concrete Mix'!D10</f>
        <v>154</v>
      </c>
      <c r="H12" s="80">
        <f>'Concrete Mix'!E10</f>
        <v>141</v>
      </c>
      <c r="I12" s="80">
        <f>'Concrete Mix'!F10</f>
        <v>141</v>
      </c>
      <c r="J12" s="80">
        <f>'Concrete Mix'!G10</f>
        <v>141</v>
      </c>
      <c r="K12" s="80">
        <f>'Concrete Mix'!H10</f>
        <v>141</v>
      </c>
      <c r="L12" s="80">
        <f>'Concrete Mix'!I10</f>
        <v>141</v>
      </c>
      <c r="M12" s="80">
        <f>'Concrete Mix'!J10</f>
        <v>141</v>
      </c>
      <c r="N12" s="80">
        <f>'Concrete Mix'!K10</f>
        <v>141</v>
      </c>
      <c r="O12" s="80">
        <f>'Concrete Mix'!L10</f>
        <v>109</v>
      </c>
      <c r="P12" s="80">
        <f>'Concrete Mix'!M10</f>
        <v>0</v>
      </c>
      <c r="Q12" s="216" t="s">
        <v>781</v>
      </c>
      <c r="T12" t="s">
        <v>311</v>
      </c>
      <c r="U12">
        <v>8.5778627582825969E-11</v>
      </c>
      <c r="V12">
        <v>8.5837942446199329E-11</v>
      </c>
      <c r="W12">
        <v>8.5982457019754094E-11</v>
      </c>
      <c r="X12">
        <v>3.2417122414966556E-11</v>
      </c>
      <c r="Y12">
        <v>3.2472100311574001E-11</v>
      </c>
      <c r="Z12">
        <v>3.252670145060316E-11</v>
      </c>
      <c r="AA12">
        <v>3.252670145060316E-11</v>
      </c>
      <c r="AB12">
        <v>3.252670145060316E-11</v>
      </c>
      <c r="AC12">
        <v>3.252670145060316E-11</v>
      </c>
      <c r="AD12">
        <v>3.252670145060316E-11</v>
      </c>
      <c r="AE12">
        <v>4.2505893957267906E-11</v>
      </c>
      <c r="AF12" t="e">
        <v>#N/A</v>
      </c>
    </row>
    <row r="13" spans="1:32" ht="15" customHeight="1" x14ac:dyDescent="0.25">
      <c r="A13">
        <f t="shared" si="0"/>
        <v>10</v>
      </c>
      <c r="C13" s="217" t="s">
        <v>1055</v>
      </c>
      <c r="D13" s="215">
        <f t="shared" si="1"/>
        <v>1050</v>
      </c>
      <c r="E13" s="80">
        <f>'Concrete Mix'!B11</f>
        <v>1050</v>
      </c>
      <c r="F13" s="80">
        <f>'Concrete Mix'!C11</f>
        <v>1112</v>
      </c>
      <c r="G13" s="80">
        <f>'Concrete Mix'!D11</f>
        <v>1068</v>
      </c>
      <c r="H13" s="80">
        <f>'Concrete Mix'!E11</f>
        <v>1187</v>
      </c>
      <c r="I13" s="80">
        <f>'Concrete Mix'!F11</f>
        <v>1187</v>
      </c>
      <c r="J13" s="80">
        <f>'Concrete Mix'!G11</f>
        <v>1127</v>
      </c>
      <c r="K13" s="80">
        <f>'Concrete Mix'!H11</f>
        <v>1127</v>
      </c>
      <c r="L13" s="80">
        <f>'Concrete Mix'!I11</f>
        <v>1127</v>
      </c>
      <c r="M13" s="80">
        <f>'Concrete Mix'!J11</f>
        <v>1127</v>
      </c>
      <c r="N13" s="80">
        <f>'Concrete Mix'!K11</f>
        <v>1127</v>
      </c>
      <c r="O13" s="80">
        <f>'Concrete Mix'!L11</f>
        <v>1081</v>
      </c>
      <c r="P13" s="80">
        <f>'Concrete Mix'!M11</f>
        <v>0</v>
      </c>
      <c r="Q13" s="216" t="s">
        <v>782</v>
      </c>
      <c r="T13" t="s">
        <v>748</v>
      </c>
      <c r="U13">
        <v>0</v>
      </c>
      <c r="V13">
        <v>0</v>
      </c>
      <c r="W13">
        <v>0</v>
      </c>
      <c r="X13">
        <v>0</v>
      </c>
      <c r="Y13">
        <v>0</v>
      </c>
      <c r="Z13">
        <v>0</v>
      </c>
      <c r="AA13">
        <v>0</v>
      </c>
      <c r="AB13">
        <v>0</v>
      </c>
      <c r="AC13">
        <v>0</v>
      </c>
      <c r="AD13">
        <v>0</v>
      </c>
      <c r="AE13">
        <v>0</v>
      </c>
      <c r="AF13" t="e">
        <v>#DIV/0!</v>
      </c>
    </row>
    <row r="14" spans="1:32" ht="15" customHeight="1" x14ac:dyDescent="0.25">
      <c r="A14">
        <f t="shared" si="0"/>
        <v>11</v>
      </c>
      <c r="C14" s="217" t="s">
        <v>1056</v>
      </c>
      <c r="D14" s="215">
        <f t="shared" si="1"/>
        <v>555</v>
      </c>
      <c r="E14" s="80">
        <f>'Concrete Mix'!B12</f>
        <v>555</v>
      </c>
      <c r="F14" s="80">
        <f>'Concrete Mix'!C12</f>
        <v>611</v>
      </c>
      <c r="G14" s="80">
        <f>'Concrete Mix'!D12</f>
        <v>742</v>
      </c>
      <c r="H14" s="80">
        <f>'Concrete Mix'!E12</f>
        <v>712</v>
      </c>
      <c r="I14" s="80">
        <f>'Concrete Mix'!F12</f>
        <v>771</v>
      </c>
      <c r="J14" s="80">
        <f>'Concrete Mix'!G12</f>
        <v>831</v>
      </c>
      <c r="K14" s="80">
        <f>'Concrete Mix'!H12</f>
        <v>831</v>
      </c>
      <c r="L14" s="80">
        <f>'Concrete Mix'!I12</f>
        <v>831</v>
      </c>
      <c r="M14" s="80">
        <f>'Concrete Mix'!J12</f>
        <v>831</v>
      </c>
      <c r="N14" s="80">
        <f>'Concrete Mix'!K12</f>
        <v>831</v>
      </c>
      <c r="O14" s="80">
        <f>'Concrete Mix'!L12</f>
        <v>473</v>
      </c>
      <c r="P14" s="80">
        <f>'Concrete Mix'!M12</f>
        <v>0</v>
      </c>
      <c r="Q14" s="216" t="s">
        <v>783</v>
      </c>
      <c r="T14" t="s">
        <v>244</v>
      </c>
      <c r="U14">
        <v>8.5677994402339378E-6</v>
      </c>
      <c r="V14">
        <v>7.334612884521418E-6</v>
      </c>
      <c r="W14">
        <v>6.569166316962248E-6</v>
      </c>
      <c r="X14">
        <v>5.4159811622900617E-6</v>
      </c>
      <c r="Y14">
        <v>4.517742666205737E-6</v>
      </c>
      <c r="Z14">
        <v>3.7319421981108179E-6</v>
      </c>
      <c r="AA14">
        <v>3.0251257079602764E-6</v>
      </c>
      <c r="AB14">
        <v>2.8323575742828563E-6</v>
      </c>
      <c r="AC14">
        <v>2.4789493292075851E-6</v>
      </c>
      <c r="AD14">
        <v>1.9488369615946786E-6</v>
      </c>
      <c r="AE14">
        <v>3.4825519404966968E-6</v>
      </c>
      <c r="AF14" t="e">
        <v>#DIV/0!</v>
      </c>
    </row>
    <row r="15" spans="1:32" ht="15" customHeight="1" x14ac:dyDescent="0.25">
      <c r="A15">
        <f t="shared" si="0"/>
        <v>12</v>
      </c>
      <c r="C15" s="218" t="s">
        <v>1057</v>
      </c>
      <c r="D15" s="215">
        <f t="shared" si="1"/>
        <v>0</v>
      </c>
      <c r="E15" s="80">
        <f>'Concrete Mix'!B13</f>
        <v>0</v>
      </c>
      <c r="F15" s="80">
        <f>'Concrete Mix'!C13</f>
        <v>0</v>
      </c>
      <c r="G15" s="80">
        <f>'Concrete Mix'!D13</f>
        <v>0</v>
      </c>
      <c r="H15" s="80">
        <f>'Concrete Mix'!E13</f>
        <v>0</v>
      </c>
      <c r="I15" s="80">
        <f>'Concrete Mix'!F13</f>
        <v>0</v>
      </c>
      <c r="J15" s="80">
        <f>'Concrete Mix'!G13</f>
        <v>0</v>
      </c>
      <c r="K15" s="80">
        <f>'Concrete Mix'!H13</f>
        <v>0</v>
      </c>
      <c r="L15" s="80">
        <f>'Concrete Mix'!I13</f>
        <v>0</v>
      </c>
      <c r="M15" s="80">
        <f>'Concrete Mix'!J13</f>
        <v>0</v>
      </c>
      <c r="N15" s="80">
        <f>'Concrete Mix'!K13</f>
        <v>0</v>
      </c>
      <c r="O15" s="80">
        <f>'Concrete Mix'!L13</f>
        <v>0</v>
      </c>
      <c r="P15" s="80">
        <f>'Concrete Mix'!M13</f>
        <v>0</v>
      </c>
      <c r="Q15" s="216" t="s">
        <v>784</v>
      </c>
      <c r="T15" t="s">
        <v>513</v>
      </c>
      <c r="U15">
        <v>1.5990314034892649E-4</v>
      </c>
      <c r="V15">
        <v>1.3584541764282508E-4</v>
      </c>
      <c r="W15">
        <v>1.2088189502624342E-4</v>
      </c>
      <c r="X15">
        <v>1.0269715303081924E-4</v>
      </c>
      <c r="Y15">
        <v>8.5170498854669419E-5</v>
      </c>
      <c r="Z15">
        <v>6.9835914545400102E-5</v>
      </c>
      <c r="AA15">
        <v>5.6056631295908202E-5</v>
      </c>
      <c r="AB15">
        <v>5.229864495513769E-5</v>
      </c>
      <c r="AC15">
        <v>4.5409003330391733E-5</v>
      </c>
      <c r="AD15">
        <v>3.5074540893272808E-5</v>
      </c>
      <c r="AE15">
        <v>6.3403128883313868E-5</v>
      </c>
      <c r="AF15" t="e">
        <v>#DIV/0!</v>
      </c>
    </row>
    <row r="16" spans="1:32" ht="15" customHeight="1" x14ac:dyDescent="0.25">
      <c r="A16">
        <f t="shared" si="0"/>
        <v>13</v>
      </c>
      <c r="C16" s="218" t="s">
        <v>325</v>
      </c>
      <c r="D16" s="215">
        <f t="shared" si="1"/>
        <v>2290</v>
      </c>
      <c r="E16" s="80">
        <f>'Concrete Mix'!B5</f>
        <v>2290</v>
      </c>
      <c r="F16" s="80">
        <f>'Concrete Mix'!C5</f>
        <v>2380</v>
      </c>
      <c r="G16" s="80">
        <f>'Concrete Mix'!D5</f>
        <v>2320</v>
      </c>
      <c r="H16" s="80">
        <f>'Concrete Mix'!E5</f>
        <v>2370</v>
      </c>
      <c r="I16" s="80">
        <f>'Concrete Mix'!F5</f>
        <v>2380</v>
      </c>
      <c r="J16" s="80">
        <f>'Concrete Mix'!G5</f>
        <v>2320</v>
      </c>
      <c r="K16" s="80">
        <f>'Concrete Mix'!H5</f>
        <v>2320</v>
      </c>
      <c r="L16" s="80">
        <f>'Concrete Mix'!I5</f>
        <v>2320</v>
      </c>
      <c r="M16" s="80">
        <f>'Concrete Mix'!J5</f>
        <v>2320</v>
      </c>
      <c r="N16" s="80">
        <f>'Concrete Mix'!K5</f>
        <v>2320</v>
      </c>
      <c r="O16" s="80">
        <f>'Concrete Mix'!L5</f>
        <v>1822</v>
      </c>
      <c r="P16" s="80">
        <f>'Concrete Mix'!M5</f>
        <v>0</v>
      </c>
      <c r="Q16" s="216" t="s">
        <v>326</v>
      </c>
      <c r="T16" t="s">
        <v>755</v>
      </c>
      <c r="U16">
        <v>1.3507270415111778E-2</v>
      </c>
      <c r="V16">
        <v>1.1475076627750816E-2</v>
      </c>
      <c r="W16">
        <v>1.021108426615858E-2</v>
      </c>
      <c r="X16">
        <v>8.6749903715030805E-3</v>
      </c>
      <c r="Y16">
        <v>7.1944862452639939E-3</v>
      </c>
      <c r="Z16">
        <v>5.8991497185320292E-3</v>
      </c>
      <c r="AA16">
        <v>4.7351919265346785E-3</v>
      </c>
      <c r="AB16">
        <v>4.4177488923535834E-3</v>
      </c>
      <c r="AC16">
        <v>3.8357699963549072E-3</v>
      </c>
      <c r="AD16">
        <v>2.9628016523568939E-3</v>
      </c>
      <c r="AE16">
        <v>5.3557622781157423E-3</v>
      </c>
      <c r="AF16" t="e">
        <v>#DIV/0!</v>
      </c>
    </row>
    <row r="17" spans="1:32" ht="15" customHeight="1" x14ac:dyDescent="0.25">
      <c r="A17">
        <f t="shared" si="0"/>
        <v>14</v>
      </c>
      <c r="B17" t="str">
        <f t="shared" ref="B17:B24" si="2">RIGHT(C17,LEN(C17)-3)</f>
        <v>PC</v>
      </c>
      <c r="C17" s="214" t="s">
        <v>790</v>
      </c>
      <c r="D17" s="215">
        <f t="shared" ref="D17:D24" si="3">HLOOKUP($D$4,$E$4:$P$221,A17,FALSE)</f>
        <v>0.22008733624454149</v>
      </c>
      <c r="E17" s="80">
        <f>E8/E$16</f>
        <v>0.22008733624454149</v>
      </c>
      <c r="F17" s="80">
        <f t="shared" ref="F17:P17" si="4">F8/F$16</f>
        <v>0.18697478991596639</v>
      </c>
      <c r="G17" s="80">
        <f t="shared" si="4"/>
        <v>0.16637931034482759</v>
      </c>
      <c r="H17" s="80">
        <f t="shared" si="4"/>
        <v>0.14135021097046413</v>
      </c>
      <c r="I17" s="80">
        <f t="shared" si="4"/>
        <v>0.11722689075630252</v>
      </c>
      <c r="J17" s="80">
        <f t="shared" si="4"/>
        <v>9.6120689655172412E-2</v>
      </c>
      <c r="K17" s="80">
        <f t="shared" si="4"/>
        <v>7.7155172413793105E-2</v>
      </c>
      <c r="L17" s="80">
        <f t="shared" si="4"/>
        <v>7.198275862068966E-2</v>
      </c>
      <c r="M17" s="80">
        <f t="shared" si="4"/>
        <v>6.25E-2</v>
      </c>
      <c r="N17" s="80">
        <f t="shared" si="4"/>
        <v>4.8275862068965517E-2</v>
      </c>
      <c r="O17" s="80">
        <f t="shared" si="4"/>
        <v>8.7266739846322716E-2</v>
      </c>
      <c r="P17" s="80" t="e">
        <f t="shared" si="4"/>
        <v>#DIV/0!</v>
      </c>
      <c r="Q17" s="216" t="s">
        <v>993</v>
      </c>
      <c r="T17" t="s">
        <v>241</v>
      </c>
      <c r="U17">
        <v>2.8440245956187147E-4</v>
      </c>
      <c r="V17">
        <v>2.491037755538441E-4</v>
      </c>
      <c r="W17">
        <v>2.2723909709353445E-4</v>
      </c>
      <c r="X17">
        <v>1.617843372646734E-4</v>
      </c>
      <c r="Y17">
        <v>1.360780176918948E-4</v>
      </c>
      <c r="Z17">
        <v>1.1359224342639102E-4</v>
      </c>
      <c r="AA17">
        <v>9.3346013364831238E-5</v>
      </c>
      <c r="AB17">
        <v>8.7824314257133125E-5</v>
      </c>
      <c r="AC17">
        <v>7.7701199226353236E-5</v>
      </c>
      <c r="AD17">
        <v>6.2516526680183389E-5</v>
      </c>
      <c r="AE17">
        <v>1.0737913736067606E-4</v>
      </c>
      <c r="AF17" t="e">
        <v>#DIV/0!</v>
      </c>
    </row>
    <row r="18" spans="1:32" ht="15" customHeight="1" x14ac:dyDescent="0.25">
      <c r="A18">
        <f t="shared" si="0"/>
        <v>15</v>
      </c>
      <c r="B18" t="str">
        <f t="shared" si="2"/>
        <v>fume</v>
      </c>
      <c r="C18" s="217" t="s">
        <v>791</v>
      </c>
      <c r="D18" s="215">
        <f t="shared" si="3"/>
        <v>0</v>
      </c>
      <c r="E18" s="80">
        <f t="shared" ref="E18:P18" si="5">E9/E$16</f>
        <v>0</v>
      </c>
      <c r="F18" s="80">
        <f t="shared" si="5"/>
        <v>2.3529411764705882E-2</v>
      </c>
      <c r="G18" s="80">
        <f t="shared" si="5"/>
        <v>0</v>
      </c>
      <c r="H18" s="80">
        <f t="shared" si="5"/>
        <v>0</v>
      </c>
      <c r="I18" s="80">
        <f t="shared" si="5"/>
        <v>0</v>
      </c>
      <c r="J18" s="80">
        <f t="shared" si="5"/>
        <v>0</v>
      </c>
      <c r="K18" s="80">
        <f t="shared" si="5"/>
        <v>0</v>
      </c>
      <c r="L18" s="80">
        <f t="shared" si="5"/>
        <v>0</v>
      </c>
      <c r="M18" s="80">
        <f t="shared" si="5"/>
        <v>0</v>
      </c>
      <c r="N18" s="80">
        <f t="shared" si="5"/>
        <v>0</v>
      </c>
      <c r="O18" s="80">
        <f t="shared" si="5"/>
        <v>0</v>
      </c>
      <c r="P18" s="80" t="e">
        <f t="shared" si="5"/>
        <v>#DIV/0!</v>
      </c>
      <c r="Q18" s="216" t="s">
        <v>994</v>
      </c>
      <c r="T18" t="s">
        <v>240</v>
      </c>
      <c r="U18">
        <v>0.21263726320610571</v>
      </c>
      <c r="V18">
        <v>0.18270797569397187</v>
      </c>
      <c r="W18">
        <v>0.16413413774076566</v>
      </c>
      <c r="X18">
        <v>0.13115049017738745</v>
      </c>
      <c r="Y18">
        <v>0.10935072485694902</v>
      </c>
      <c r="Z18">
        <v>9.0279978315223608E-2</v>
      </c>
      <c r="AA18">
        <v>7.3124536903098725E-2</v>
      </c>
      <c r="AB18">
        <v>6.8445780154337402E-2</v>
      </c>
      <c r="AC18">
        <v>5.9868059448274946E-2</v>
      </c>
      <c r="AD18">
        <v>4.7001478389181284E-2</v>
      </c>
      <c r="AE18">
        <v>8.5798683049013044E-2</v>
      </c>
      <c r="AF18" t="e">
        <v>#DIV/0!</v>
      </c>
    </row>
    <row r="19" spans="1:32" ht="15" customHeight="1" x14ac:dyDescent="0.25">
      <c r="A19">
        <f t="shared" si="0"/>
        <v>16</v>
      </c>
      <c r="B19" t="str">
        <f t="shared" si="2"/>
        <v>fa</v>
      </c>
      <c r="C19" s="217" t="s">
        <v>792</v>
      </c>
      <c r="D19" s="215">
        <f t="shared" si="3"/>
        <v>0</v>
      </c>
      <c r="E19" s="80">
        <f t="shared" ref="E19:P19" si="6">E10/E$16</f>
        <v>0</v>
      </c>
      <c r="F19" s="80">
        <f t="shared" si="6"/>
        <v>0</v>
      </c>
      <c r="G19" s="80">
        <f t="shared" si="6"/>
        <v>0</v>
      </c>
      <c r="H19" s="80">
        <f t="shared" si="6"/>
        <v>0</v>
      </c>
      <c r="I19" s="80">
        <f t="shared" si="6"/>
        <v>0</v>
      </c>
      <c r="J19" s="80">
        <f t="shared" si="6"/>
        <v>0</v>
      </c>
      <c r="K19" s="80">
        <f t="shared" si="6"/>
        <v>1.896551724137931E-2</v>
      </c>
      <c r="L19" s="80">
        <f t="shared" si="6"/>
        <v>2.4137931034482758E-2</v>
      </c>
      <c r="M19" s="80">
        <f t="shared" si="6"/>
        <v>0</v>
      </c>
      <c r="N19" s="80">
        <f t="shared" si="6"/>
        <v>0</v>
      </c>
      <c r="O19" s="80">
        <f t="shared" si="6"/>
        <v>0</v>
      </c>
      <c r="P19" s="80" t="e">
        <f t="shared" si="6"/>
        <v>#DIV/0!</v>
      </c>
      <c r="Q19" s="216" t="s">
        <v>995</v>
      </c>
      <c r="T19" t="s">
        <v>761</v>
      </c>
      <c r="U19">
        <v>2.2167871049375412E-2</v>
      </c>
      <c r="V19">
        <v>1.8832673896947122E-2</v>
      </c>
      <c r="W19">
        <v>1.6758234071723541E-2</v>
      </c>
      <c r="X19">
        <v>1.4237226471375281E-2</v>
      </c>
      <c r="Y19">
        <v>1.1807451724153364E-2</v>
      </c>
      <c r="Z19">
        <v>9.6815704611252565E-3</v>
      </c>
      <c r="AA19">
        <v>7.7713054374054756E-3</v>
      </c>
      <c r="AB19">
        <v>7.2503240673000811E-3</v>
      </c>
      <c r="AC19">
        <v>6.2951915554401898E-3</v>
      </c>
      <c r="AD19">
        <v>4.8624927876503533E-3</v>
      </c>
      <c r="AE19">
        <v>8.7897735000218667E-3</v>
      </c>
      <c r="AF19" t="e">
        <v>#DIV/0!</v>
      </c>
    </row>
    <row r="20" spans="1:32" ht="15" customHeight="1" x14ac:dyDescent="0.25">
      <c r="A20">
        <f t="shared" si="0"/>
        <v>17</v>
      </c>
      <c r="B20" t="str">
        <f t="shared" si="2"/>
        <v>slag</v>
      </c>
      <c r="C20" s="217" t="s">
        <v>793</v>
      </c>
      <c r="D20" s="215">
        <f t="shared" si="3"/>
        <v>0</v>
      </c>
      <c r="E20" s="80">
        <f t="shared" ref="E20:P20" si="7">E11/E$16</f>
        <v>0</v>
      </c>
      <c r="F20" s="80">
        <f t="shared" si="7"/>
        <v>0</v>
      </c>
      <c r="G20" s="80">
        <f t="shared" si="7"/>
        <v>0</v>
      </c>
      <c r="H20" s="80">
        <f t="shared" si="7"/>
        <v>0</v>
      </c>
      <c r="I20" s="80">
        <f t="shared" si="7"/>
        <v>0</v>
      </c>
      <c r="J20" s="80">
        <f t="shared" si="7"/>
        <v>0</v>
      </c>
      <c r="K20" s="80">
        <f t="shared" si="7"/>
        <v>0</v>
      </c>
      <c r="L20" s="80">
        <f t="shared" si="7"/>
        <v>0</v>
      </c>
      <c r="M20" s="80">
        <f t="shared" si="7"/>
        <v>3.3620689655172412E-2</v>
      </c>
      <c r="N20" s="80">
        <f t="shared" si="7"/>
        <v>4.8275862068965517E-2</v>
      </c>
      <c r="O20" s="80">
        <f t="shared" si="7"/>
        <v>0</v>
      </c>
      <c r="P20" s="80" t="e">
        <f t="shared" si="7"/>
        <v>#DIV/0!</v>
      </c>
      <c r="Q20" s="216" t="s">
        <v>996</v>
      </c>
      <c r="T20" t="s">
        <v>313</v>
      </c>
      <c r="U20">
        <v>3.2530076560651233E-11</v>
      </c>
      <c r="V20">
        <v>3.3427317765272021E-11</v>
      </c>
      <c r="W20">
        <v>3.5613353822463431E-11</v>
      </c>
      <c r="X20">
        <v>3.1273048459916228E-11</v>
      </c>
      <c r="Y20">
        <v>3.2104678393107198E-11</v>
      </c>
      <c r="Z20">
        <v>3.2930609256326604E-11</v>
      </c>
      <c r="AA20">
        <v>3.2930609256326604E-11</v>
      </c>
      <c r="AB20">
        <v>3.2930609256326604E-11</v>
      </c>
      <c r="AC20">
        <v>3.2930609256326604E-11</v>
      </c>
      <c r="AD20">
        <v>3.2930609256326604E-11</v>
      </c>
      <c r="AE20">
        <v>3.5736729427249135E-11</v>
      </c>
      <c r="AF20" t="e">
        <v>#N/A</v>
      </c>
    </row>
    <row r="21" spans="1:32" ht="15" customHeight="1" x14ac:dyDescent="0.25">
      <c r="A21">
        <f t="shared" si="0"/>
        <v>18</v>
      </c>
      <c r="B21" t="str">
        <f t="shared" si="2"/>
        <v>water_in</v>
      </c>
      <c r="C21" s="217" t="s">
        <v>794</v>
      </c>
      <c r="D21" s="215">
        <f t="shared" si="3"/>
        <v>7.7729257641921401E-2</v>
      </c>
      <c r="E21" s="80">
        <f t="shared" ref="E21:P21" si="8">E12/E$16</f>
        <v>7.7729257641921401E-2</v>
      </c>
      <c r="F21" s="80">
        <f t="shared" si="8"/>
        <v>5.7142857142857141E-2</v>
      </c>
      <c r="G21" s="80">
        <f t="shared" si="8"/>
        <v>6.637931034482758E-2</v>
      </c>
      <c r="H21" s="80">
        <f t="shared" si="8"/>
        <v>5.9493670886075947E-2</v>
      </c>
      <c r="I21" s="80">
        <f t="shared" si="8"/>
        <v>5.9243697478991594E-2</v>
      </c>
      <c r="J21" s="80">
        <f t="shared" si="8"/>
        <v>6.0775862068965514E-2</v>
      </c>
      <c r="K21" s="80">
        <f t="shared" si="8"/>
        <v>6.0775862068965514E-2</v>
      </c>
      <c r="L21" s="80">
        <f t="shared" si="8"/>
        <v>6.0775862068965514E-2</v>
      </c>
      <c r="M21" s="80">
        <f t="shared" si="8"/>
        <v>6.0775862068965514E-2</v>
      </c>
      <c r="N21" s="80">
        <f t="shared" si="8"/>
        <v>6.0775862068965514E-2</v>
      </c>
      <c r="O21" s="80">
        <f t="shared" si="8"/>
        <v>5.9824368825466517E-2</v>
      </c>
      <c r="P21" s="80" t="e">
        <f t="shared" si="8"/>
        <v>#DIV/0!</v>
      </c>
      <c r="Q21" s="216" t="s">
        <v>997</v>
      </c>
      <c r="T21" t="s">
        <v>312</v>
      </c>
      <c r="U21">
        <v>6.2757299502705133E-10</v>
      </c>
      <c r="V21">
        <v>6.2769892580930708E-10</v>
      </c>
      <c r="W21">
        <v>6.2800574322841762E-10</v>
      </c>
      <c r="X21">
        <v>5.5543597867417194E-10</v>
      </c>
      <c r="Y21">
        <v>5.5555270180873757E-10</v>
      </c>
      <c r="Z21">
        <v>5.5566862505228845E-10</v>
      </c>
      <c r="AA21">
        <v>5.5566862505228845E-10</v>
      </c>
      <c r="AB21">
        <v>5.5566862505228845E-10</v>
      </c>
      <c r="AC21">
        <v>5.5566862505228845E-10</v>
      </c>
      <c r="AD21">
        <v>5.5566862505228845E-10</v>
      </c>
      <c r="AE21">
        <v>5.8088760991847561E-10</v>
      </c>
      <c r="AF21" t="e">
        <v>#N/A</v>
      </c>
    </row>
    <row r="22" spans="1:32" ht="15" customHeight="1" x14ac:dyDescent="0.25">
      <c r="A22">
        <f t="shared" si="0"/>
        <v>19</v>
      </c>
      <c r="B22" t="str">
        <f t="shared" si="2"/>
        <v>coarse_ag</v>
      </c>
      <c r="C22" s="217" t="s">
        <v>796</v>
      </c>
      <c r="D22" s="215">
        <f t="shared" si="3"/>
        <v>0.45851528384279477</v>
      </c>
      <c r="E22" s="80">
        <f t="shared" ref="E22:P22" si="9">E13/E$16</f>
        <v>0.45851528384279477</v>
      </c>
      <c r="F22" s="80">
        <f t="shared" si="9"/>
        <v>0.46722689075630253</v>
      </c>
      <c r="G22" s="80">
        <f t="shared" si="9"/>
        <v>0.46034482758620687</v>
      </c>
      <c r="H22" s="80">
        <f t="shared" si="9"/>
        <v>0.50084388185654005</v>
      </c>
      <c r="I22" s="80">
        <f t="shared" si="9"/>
        <v>0.49873949579831933</v>
      </c>
      <c r="J22" s="80">
        <f t="shared" si="9"/>
        <v>0.4857758620689655</v>
      </c>
      <c r="K22" s="80">
        <f t="shared" si="9"/>
        <v>0.4857758620689655</v>
      </c>
      <c r="L22" s="80">
        <f t="shared" si="9"/>
        <v>0.4857758620689655</v>
      </c>
      <c r="M22" s="80">
        <f t="shared" si="9"/>
        <v>0.4857758620689655</v>
      </c>
      <c r="N22" s="80">
        <f t="shared" si="9"/>
        <v>0.4857758620689655</v>
      </c>
      <c r="O22" s="80">
        <f t="shared" si="9"/>
        <v>0.59330406147091108</v>
      </c>
      <c r="P22" s="80" t="e">
        <f t="shared" si="9"/>
        <v>#DIV/0!</v>
      </c>
      <c r="Q22" s="216" t="s">
        <v>998</v>
      </c>
      <c r="T22" t="s">
        <v>314</v>
      </c>
      <c r="U22">
        <v>1.0686695278969958E-11</v>
      </c>
      <c r="V22">
        <v>1.0686695278969958E-11</v>
      </c>
      <c r="W22">
        <v>1.0686695278969958E-11</v>
      </c>
      <c r="X22">
        <v>1.8581039755351677E-11</v>
      </c>
      <c r="Y22">
        <v>1.8581039755351677E-11</v>
      </c>
      <c r="Z22">
        <v>1.8581039755351677E-11</v>
      </c>
      <c r="AA22">
        <v>1.8581039755351677E-11</v>
      </c>
      <c r="AB22">
        <v>1.8581039755351677E-11</v>
      </c>
      <c r="AC22">
        <v>1.8581039755351677E-11</v>
      </c>
      <c r="AD22">
        <v>1.8581039755351677E-11</v>
      </c>
      <c r="AE22">
        <v>0</v>
      </c>
      <c r="AF22" t="e">
        <v>#N/A</v>
      </c>
    </row>
    <row r="23" spans="1:32" ht="15" customHeight="1" x14ac:dyDescent="0.25">
      <c r="A23">
        <f t="shared" si="0"/>
        <v>20</v>
      </c>
      <c r="B23" t="str">
        <f t="shared" si="2"/>
        <v>fine_ag</v>
      </c>
      <c r="C23" s="217" t="s">
        <v>795</v>
      </c>
      <c r="D23" s="215">
        <f t="shared" si="3"/>
        <v>0.2423580786026201</v>
      </c>
      <c r="E23" s="80">
        <f t="shared" ref="E23:P23" si="10">E14/E$16</f>
        <v>0.2423580786026201</v>
      </c>
      <c r="F23" s="80">
        <f t="shared" si="10"/>
        <v>0.25672268907563023</v>
      </c>
      <c r="G23" s="80">
        <f t="shared" si="10"/>
        <v>0.31982758620689655</v>
      </c>
      <c r="H23" s="80">
        <f t="shared" si="10"/>
        <v>0.30042194092827001</v>
      </c>
      <c r="I23" s="80">
        <f t="shared" si="10"/>
        <v>0.32394957983193279</v>
      </c>
      <c r="J23" s="80">
        <f t="shared" si="10"/>
        <v>0.3581896551724138</v>
      </c>
      <c r="K23" s="80">
        <f t="shared" si="10"/>
        <v>0.3581896551724138</v>
      </c>
      <c r="L23" s="80">
        <f t="shared" si="10"/>
        <v>0.3581896551724138</v>
      </c>
      <c r="M23" s="80">
        <f t="shared" si="10"/>
        <v>0.3581896551724138</v>
      </c>
      <c r="N23" s="80">
        <f t="shared" si="10"/>
        <v>0.3581896551724138</v>
      </c>
      <c r="O23" s="80">
        <f t="shared" si="10"/>
        <v>0.25960482985729966</v>
      </c>
      <c r="P23" s="80" t="e">
        <f t="shared" si="10"/>
        <v>#DIV/0!</v>
      </c>
      <c r="Q23" s="216" t="s">
        <v>999</v>
      </c>
      <c r="T23" t="s">
        <v>307</v>
      </c>
      <c r="U23">
        <v>5.1447831139022238E-12</v>
      </c>
      <c r="V23">
        <v>5.1981603102929653E-12</v>
      </c>
      <c r="W23">
        <v>5.3282083679847239E-12</v>
      </c>
      <c r="X23">
        <v>8.4864986118936417E-12</v>
      </c>
      <c r="Y23">
        <v>8.5359726617264294E-12</v>
      </c>
      <c r="Z23">
        <v>8.5851076712475115E-12</v>
      </c>
      <c r="AA23">
        <v>8.5851076712475115E-12</v>
      </c>
      <c r="AB23">
        <v>8.5851076712475115E-12</v>
      </c>
      <c r="AC23">
        <v>8.5851076712475115E-12</v>
      </c>
      <c r="AD23">
        <v>8.5851076712475115E-12</v>
      </c>
      <c r="AE23">
        <v>1.9487226418719905E-12</v>
      </c>
      <c r="AF23" t="e">
        <v>#N/A</v>
      </c>
    </row>
    <row r="24" spans="1:32" ht="15" customHeight="1" x14ac:dyDescent="0.25">
      <c r="A24">
        <f t="shared" si="0"/>
        <v>21</v>
      </c>
      <c r="B24" t="str">
        <f t="shared" si="2"/>
        <v>admixture</v>
      </c>
      <c r="C24" s="218" t="s">
        <v>797</v>
      </c>
      <c r="D24" s="215">
        <f t="shared" si="3"/>
        <v>0</v>
      </c>
      <c r="E24" s="80">
        <f t="shared" ref="E24:P24" si="11">E15/E$16</f>
        <v>0</v>
      </c>
      <c r="F24" s="80">
        <f t="shared" si="11"/>
        <v>0</v>
      </c>
      <c r="G24" s="80">
        <f t="shared" si="11"/>
        <v>0</v>
      </c>
      <c r="H24" s="80">
        <f t="shared" si="11"/>
        <v>0</v>
      </c>
      <c r="I24" s="80">
        <f t="shared" si="11"/>
        <v>0</v>
      </c>
      <c r="J24" s="80">
        <f t="shared" si="11"/>
        <v>0</v>
      </c>
      <c r="K24" s="80">
        <f t="shared" si="11"/>
        <v>0</v>
      </c>
      <c r="L24" s="80">
        <f t="shared" si="11"/>
        <v>0</v>
      </c>
      <c r="M24" s="80">
        <f t="shared" si="11"/>
        <v>0</v>
      </c>
      <c r="N24" s="80">
        <f t="shared" si="11"/>
        <v>0</v>
      </c>
      <c r="O24" s="80">
        <f t="shared" si="11"/>
        <v>0</v>
      </c>
      <c r="P24" s="80" t="e">
        <f t="shared" si="11"/>
        <v>#DIV/0!</v>
      </c>
      <c r="Q24" s="216" t="s">
        <v>1000</v>
      </c>
      <c r="T24" t="s">
        <v>749</v>
      </c>
      <c r="U24">
        <v>0</v>
      </c>
      <c r="V24">
        <v>0</v>
      </c>
      <c r="W24">
        <v>0</v>
      </c>
      <c r="X24">
        <v>0</v>
      </c>
      <c r="Y24">
        <v>0</v>
      </c>
      <c r="Z24">
        <v>0</v>
      </c>
      <c r="AA24">
        <v>0</v>
      </c>
      <c r="AB24">
        <v>0</v>
      </c>
      <c r="AC24">
        <v>0</v>
      </c>
      <c r="AD24">
        <v>0</v>
      </c>
      <c r="AE24">
        <v>0</v>
      </c>
      <c r="AF24" t="e">
        <v>#DIV/0!</v>
      </c>
    </row>
    <row r="25" spans="1:32" ht="15" customHeight="1" x14ac:dyDescent="0.25">
      <c r="A25">
        <f t="shared" si="0"/>
        <v>22</v>
      </c>
      <c r="B25" t="str">
        <f>RIGHT(C25,LEN(C25)-3)</f>
        <v>CO2_to_air</v>
      </c>
      <c r="C25" s="218" t="s">
        <v>742</v>
      </c>
      <c r="D25" s="215">
        <f t="shared" ref="D25:D56" si="12">HLOOKUP($D$4,$E$4:$P$221,A25,FALSE)</f>
        <v>0</v>
      </c>
      <c r="E25" s="80">
        <f>E$24*Admixture!$B19</f>
        <v>0</v>
      </c>
      <c r="F25" s="80">
        <f>F$15*Admixture!$B19/F$16</f>
        <v>0</v>
      </c>
      <c r="G25" s="80">
        <f>G$15*Admixture!$B19/G$16</f>
        <v>0</v>
      </c>
      <c r="H25" s="80">
        <f>H$15*Admixture!$B19/H$16</f>
        <v>0</v>
      </c>
      <c r="I25" s="80">
        <f>I$15*Admixture!$B19/I$16</f>
        <v>0</v>
      </c>
      <c r="J25" s="80">
        <f>J$15*Admixture!$B19/J$16</f>
        <v>0</v>
      </c>
      <c r="K25" s="80">
        <f>K$15*Admixture!$B19/K$16</f>
        <v>0</v>
      </c>
      <c r="L25" s="80">
        <f>L$15*Admixture!$B19/L$16</f>
        <v>0</v>
      </c>
      <c r="M25" s="80">
        <f>M$15*Admixture!$B19/M$16</f>
        <v>0</v>
      </c>
      <c r="N25" s="80">
        <f>N$15*Admixture!$B19/N$16</f>
        <v>0</v>
      </c>
      <c r="O25" s="80">
        <f>O$15*Admixture!$B19/O$16</f>
        <v>0</v>
      </c>
      <c r="P25" s="80" t="e">
        <f>P$15*Admixture!$B19/P$16</f>
        <v>#DIV/0!</v>
      </c>
      <c r="Q25" s="216" t="s">
        <v>844</v>
      </c>
      <c r="T25" t="s">
        <v>327</v>
      </c>
      <c r="U25">
        <v>3.2911754527926436E-3</v>
      </c>
      <c r="V25">
        <v>3.2695536759580258E-3</v>
      </c>
      <c r="W25">
        <v>3.2655702823936456E-3</v>
      </c>
      <c r="X25">
        <v>8.9389835398061138E-4</v>
      </c>
      <c r="Y25">
        <v>8.7915683614868184E-4</v>
      </c>
      <c r="Z25">
        <v>8.6682778188563547E-4</v>
      </c>
      <c r="AA25">
        <v>8.5145587166645526E-4</v>
      </c>
      <c r="AB25">
        <v>8.4726353251576977E-4</v>
      </c>
      <c r="AC25">
        <v>8.3957757740617961E-4</v>
      </c>
      <c r="AD25">
        <v>8.2804864474179452E-4</v>
      </c>
      <c r="AE25">
        <v>6.6043761287206283E-4</v>
      </c>
      <c r="AF25" t="e">
        <v>#DIV/0!</v>
      </c>
    </row>
    <row r="26" spans="1:32" ht="15" customHeight="1" x14ac:dyDescent="0.25">
      <c r="A26">
        <f t="shared" si="0"/>
        <v>23</v>
      </c>
      <c r="B26" t="str">
        <f t="shared" ref="B26:B89" si="13">RIGHT(C26,LEN(C26)-3)</f>
        <v>CFC_to_air</v>
      </c>
      <c r="C26" s="218" t="s">
        <v>744</v>
      </c>
      <c r="D26" s="215">
        <f t="shared" si="12"/>
        <v>0</v>
      </c>
      <c r="E26" s="80">
        <f>E$24*Admixture!$B20</f>
        <v>0</v>
      </c>
      <c r="F26" s="80">
        <f>F$15*Admixture!$B20/F$16</f>
        <v>0</v>
      </c>
      <c r="G26" s="80">
        <f>G$15*Admixture!$B20/G$16</f>
        <v>0</v>
      </c>
      <c r="H26" s="80">
        <f>H$15*Admixture!$B20/H$16</f>
        <v>0</v>
      </c>
      <c r="I26" s="80">
        <f>I$15*Admixture!$B20/I$16</f>
        <v>0</v>
      </c>
      <c r="J26" s="80">
        <f>J$15*Admixture!$B20/J$16</f>
        <v>0</v>
      </c>
      <c r="K26" s="80">
        <f>K$15*Admixture!$B20/K$16</f>
        <v>0</v>
      </c>
      <c r="L26" s="80">
        <f>L$15*Admixture!$B20/L$16</f>
        <v>0</v>
      </c>
      <c r="M26" s="80">
        <f>M$15*Admixture!$B20/M$16</f>
        <v>0</v>
      </c>
      <c r="N26" s="80">
        <f>N$15*Admixture!$B20/N$16</f>
        <v>0</v>
      </c>
      <c r="O26" s="80">
        <f>O$15*Admixture!$B20/O$16</f>
        <v>0</v>
      </c>
      <c r="P26" s="80" t="e">
        <f>P$15*Admixture!$B20/P$16</f>
        <v>#DIV/0!</v>
      </c>
      <c r="Q26" s="216" t="s">
        <v>845</v>
      </c>
      <c r="T26" t="s">
        <v>766</v>
      </c>
      <c r="U26">
        <v>3.0299216715071059E-6</v>
      </c>
      <c r="V26">
        <v>2.5740643585345105E-6</v>
      </c>
      <c r="W26">
        <v>2.2905283271004304E-6</v>
      </c>
      <c r="X26">
        <v>1.9459550685626181E-6</v>
      </c>
      <c r="Y26">
        <v>1.6138515865868054E-6</v>
      </c>
      <c r="Z26">
        <v>1.3232844998533574E-6</v>
      </c>
      <c r="AA26">
        <v>1.0621880066087487E-6</v>
      </c>
      <c r="AB26">
        <v>9.909798720874919E-7</v>
      </c>
      <c r="AC26">
        <v>8.6043162546518753E-7</v>
      </c>
      <c r="AD26">
        <v>6.6460925553173104E-7</v>
      </c>
      <c r="AE26">
        <v>1.2013930050403056E-6</v>
      </c>
      <c r="AF26" t="e">
        <v>#DIV/0!</v>
      </c>
    </row>
    <row r="27" spans="1:32" ht="15" customHeight="1" x14ac:dyDescent="0.25">
      <c r="A27">
        <f t="shared" si="0"/>
        <v>24</v>
      </c>
      <c r="B27" t="str">
        <f t="shared" si="13"/>
        <v>DB</v>
      </c>
      <c r="C27" s="218" t="s">
        <v>741</v>
      </c>
      <c r="D27" s="215">
        <f t="shared" si="12"/>
        <v>0</v>
      </c>
      <c r="E27" s="80">
        <f>E$24*Admixture!$B21</f>
        <v>0</v>
      </c>
      <c r="F27" s="80">
        <f>F$15*Admixture!$B21/F$16</f>
        <v>0</v>
      </c>
      <c r="G27" s="80">
        <f>G$15*Admixture!$B21/G$16</f>
        <v>0</v>
      </c>
      <c r="H27" s="80">
        <f>H$15*Admixture!$B21/H$16</f>
        <v>0</v>
      </c>
      <c r="I27" s="80">
        <f>I$15*Admixture!$B21/I$16</f>
        <v>0</v>
      </c>
      <c r="J27" s="80">
        <f>J$15*Admixture!$B21/J$16</f>
        <v>0</v>
      </c>
      <c r="K27" s="80">
        <f>K$15*Admixture!$B21/K$16</f>
        <v>0</v>
      </c>
      <c r="L27" s="80">
        <f>L$15*Admixture!$B21/L$16</f>
        <v>0</v>
      </c>
      <c r="M27" s="80">
        <f>M$15*Admixture!$B21/M$16</f>
        <v>0</v>
      </c>
      <c r="N27" s="80">
        <f>N$15*Admixture!$B21/N$16</f>
        <v>0</v>
      </c>
      <c r="O27" s="80">
        <f>O$15*Admixture!$B21/O$16</f>
        <v>0</v>
      </c>
      <c r="P27" s="80" t="e">
        <f>P$15*Admixture!$B21/P$16</f>
        <v>#DIV/0!</v>
      </c>
      <c r="Q27" s="216" t="s">
        <v>846</v>
      </c>
      <c r="T27" t="s">
        <v>512</v>
      </c>
      <c r="U27">
        <v>4.9205648973279906E-2</v>
      </c>
      <c r="V27">
        <v>4.46197067442793E-2</v>
      </c>
      <c r="W27">
        <v>4.1883611785377278E-2</v>
      </c>
      <c r="X27">
        <v>2.3828271781936798E-2</v>
      </c>
      <c r="Y27">
        <v>2.0499925459947711E-2</v>
      </c>
      <c r="Z27">
        <v>1.7594870204289102E-2</v>
      </c>
      <c r="AA27">
        <v>1.4931520354233434E-2</v>
      </c>
      <c r="AB27">
        <v>1.4205152213309162E-2</v>
      </c>
      <c r="AC27">
        <v>1.2873477288281329E-2</v>
      </c>
      <c r="AD27">
        <v>1.0875964900739579E-2</v>
      </c>
      <c r="AE27">
        <v>1.9613021048376374E-2</v>
      </c>
      <c r="AF27" t="e">
        <v>#DIV/0!</v>
      </c>
    </row>
    <row r="28" spans="1:32" ht="15" customHeight="1" x14ac:dyDescent="0.25">
      <c r="A28">
        <f t="shared" si="0"/>
        <v>25</v>
      </c>
      <c r="B28" t="str">
        <f t="shared" si="13"/>
        <v>C2H4_air</v>
      </c>
      <c r="C28" s="218" t="s">
        <v>747</v>
      </c>
      <c r="D28" s="215">
        <f t="shared" si="12"/>
        <v>0</v>
      </c>
      <c r="E28" s="80">
        <f>E$24*Admixture!$B22</f>
        <v>0</v>
      </c>
      <c r="F28" s="80">
        <f>F$15*Admixture!$B22/F$16</f>
        <v>0</v>
      </c>
      <c r="G28" s="80">
        <f>G$15*Admixture!$B22/G$16</f>
        <v>0</v>
      </c>
      <c r="H28" s="80">
        <f>H$15*Admixture!$B22/H$16</f>
        <v>0</v>
      </c>
      <c r="I28" s="80">
        <f>I$15*Admixture!$B22/I$16</f>
        <v>0</v>
      </c>
      <c r="J28" s="80">
        <f>J$15*Admixture!$B22/J$16</f>
        <v>0</v>
      </c>
      <c r="K28" s="80">
        <f>K$15*Admixture!$B22/K$16</f>
        <v>0</v>
      </c>
      <c r="L28" s="80">
        <f>L$15*Admixture!$B22/L$16</f>
        <v>0</v>
      </c>
      <c r="M28" s="80">
        <f>M$15*Admixture!$B22/M$16</f>
        <v>0</v>
      </c>
      <c r="N28" s="80">
        <f>N$15*Admixture!$B22/N$16</f>
        <v>0</v>
      </c>
      <c r="O28" s="80">
        <f>O$15*Admixture!$B22/O$16</f>
        <v>0</v>
      </c>
      <c r="P28" s="80" t="e">
        <f>P$15*Admixture!$B22/P$16</f>
        <v>#DIV/0!</v>
      </c>
      <c r="Q28" s="216" t="s">
        <v>847</v>
      </c>
      <c r="T28" t="s">
        <v>452</v>
      </c>
      <c r="U28">
        <v>5.0894646903060668E-3</v>
      </c>
      <c r="V28">
        <v>4.3237453253438026E-3</v>
      </c>
      <c r="W28">
        <v>3.8474800033774159E-3</v>
      </c>
      <c r="X28">
        <v>3.2686883306278038E-3</v>
      </c>
      <c r="Y28">
        <v>2.7108425747661142E-3</v>
      </c>
      <c r="Z28">
        <v>2.2227669449563828E-3</v>
      </c>
      <c r="AA28">
        <v>2.0749711336209769E-2</v>
      </c>
      <c r="AB28">
        <v>2.5802514352006149E-2</v>
      </c>
      <c r="AC28">
        <v>1.4452968924604283E-3</v>
      </c>
      <c r="AD28">
        <v>1.116367254865986E-3</v>
      </c>
      <c r="AE28">
        <v>2.0180215666406858E-3</v>
      </c>
      <c r="AF28" t="e">
        <v>#DIV/0!</v>
      </c>
    </row>
    <row r="29" spans="1:32" ht="15" customHeight="1" x14ac:dyDescent="0.25">
      <c r="A29">
        <f t="shared" si="0"/>
        <v>26</v>
      </c>
      <c r="B29" t="str">
        <f t="shared" si="13"/>
        <v>SO2_to_wat</v>
      </c>
      <c r="C29" s="218" t="s">
        <v>746</v>
      </c>
      <c r="D29" s="215">
        <f t="shared" si="12"/>
        <v>0</v>
      </c>
      <c r="E29" s="80">
        <f>E$24*Admixture!$B23</f>
        <v>0</v>
      </c>
      <c r="F29" s="80">
        <f>F$15*Admixture!$B23/F$16</f>
        <v>0</v>
      </c>
      <c r="G29" s="80">
        <f>G$15*Admixture!$B23/G$16</f>
        <v>0</v>
      </c>
      <c r="H29" s="80">
        <f>H$15*Admixture!$B23/H$16</f>
        <v>0</v>
      </c>
      <c r="I29" s="80">
        <f>I$15*Admixture!$B23/I$16</f>
        <v>0</v>
      </c>
      <c r="J29" s="80">
        <f>J$15*Admixture!$B23/J$16</f>
        <v>0</v>
      </c>
      <c r="K29" s="80">
        <f>K$15*Admixture!$B23/K$16</f>
        <v>0</v>
      </c>
      <c r="L29" s="80">
        <f>L$15*Admixture!$B23/L$16</f>
        <v>0</v>
      </c>
      <c r="M29" s="80">
        <f>M$15*Admixture!$B23/M$16</f>
        <v>0</v>
      </c>
      <c r="N29" s="80">
        <f>N$15*Admixture!$B23/N$16</f>
        <v>0</v>
      </c>
      <c r="O29" s="80">
        <f>O$15*Admixture!$B23/O$16</f>
        <v>0</v>
      </c>
      <c r="P29" s="80" t="e">
        <f>P$15*Admixture!$B23/P$16</f>
        <v>#DIV/0!</v>
      </c>
      <c r="Q29" s="216" t="s">
        <v>848</v>
      </c>
      <c r="T29" t="s">
        <v>308</v>
      </c>
      <c r="U29">
        <v>5.1447831139022238E-12</v>
      </c>
      <c r="V29">
        <v>5.1981603102929653E-12</v>
      </c>
      <c r="W29">
        <v>5.3282083679847239E-12</v>
      </c>
      <c r="X29">
        <v>8.4864986118936417E-12</v>
      </c>
      <c r="Y29">
        <v>8.5359726617264294E-12</v>
      </c>
      <c r="Z29">
        <v>8.5851076712475115E-12</v>
      </c>
      <c r="AA29">
        <v>8.5851076712475115E-12</v>
      </c>
      <c r="AB29">
        <v>8.5851076712475115E-12</v>
      </c>
      <c r="AC29">
        <v>8.5851076712475115E-12</v>
      </c>
      <c r="AD29">
        <v>8.5851076712475115E-12</v>
      </c>
      <c r="AE29">
        <v>1.9487226418719905E-12</v>
      </c>
      <c r="AF29" t="e">
        <v>#N/A</v>
      </c>
    </row>
    <row r="30" spans="1:32" ht="15" customHeight="1" x14ac:dyDescent="0.25">
      <c r="A30">
        <f t="shared" si="0"/>
        <v>27</v>
      </c>
      <c r="B30" t="str">
        <f t="shared" si="13"/>
        <v>PO4_to_wat</v>
      </c>
      <c r="C30" s="218" t="s">
        <v>745</v>
      </c>
      <c r="D30" s="215">
        <f t="shared" si="12"/>
        <v>0</v>
      </c>
      <c r="E30" s="80">
        <f>E$24*Admixture!$B24</f>
        <v>0</v>
      </c>
      <c r="F30" s="80">
        <f>F$15*Admixture!$B24/F$16</f>
        <v>0</v>
      </c>
      <c r="G30" s="80">
        <f>G$15*Admixture!$B24/G$16</f>
        <v>0</v>
      </c>
      <c r="H30" s="80">
        <f>H$15*Admixture!$B24/H$16</f>
        <v>0</v>
      </c>
      <c r="I30" s="80">
        <f>I$15*Admixture!$B24/I$16</f>
        <v>0</v>
      </c>
      <c r="J30" s="80">
        <f>J$15*Admixture!$B24/J$16</f>
        <v>0</v>
      </c>
      <c r="K30" s="80">
        <f>K$15*Admixture!$B24/K$16</f>
        <v>0</v>
      </c>
      <c r="L30" s="80">
        <f>L$15*Admixture!$B24/L$16</f>
        <v>0</v>
      </c>
      <c r="M30" s="80">
        <f>M$15*Admixture!$B24/M$16</f>
        <v>0</v>
      </c>
      <c r="N30" s="80">
        <f>N$15*Admixture!$B24/N$16</f>
        <v>0</v>
      </c>
      <c r="O30" s="80">
        <f>O$15*Admixture!$B24/O$16</f>
        <v>0</v>
      </c>
      <c r="P30" s="80" t="e">
        <f>P$15*Admixture!$B24/P$16</f>
        <v>#DIV/0!</v>
      </c>
      <c r="Q30" s="216" t="s">
        <v>849</v>
      </c>
      <c r="T30" t="s">
        <v>756</v>
      </c>
      <c r="U30">
        <v>8.7549943155385468E-4</v>
      </c>
      <c r="V30">
        <v>7.4377892467399921E-4</v>
      </c>
      <c r="W30">
        <v>6.6185085482323668E-4</v>
      </c>
      <c r="X30">
        <v>5.6228600639319159E-4</v>
      </c>
      <c r="Y30">
        <v>4.6632431457088941E-4</v>
      </c>
      <c r="Z30">
        <v>3.8236461301964194E-4</v>
      </c>
      <c r="AA30">
        <v>3.0692047412787403E-4</v>
      </c>
      <c r="AB30">
        <v>2.8634479988466459E-4</v>
      </c>
      <c r="AC30">
        <v>2.4862273043878063E-4</v>
      </c>
      <c r="AD30">
        <v>1.920396262699547E-4</v>
      </c>
      <c r="AE30">
        <v>3.4714392219333581E-4</v>
      </c>
      <c r="AF30" t="e">
        <v>#DIV/0!</v>
      </c>
    </row>
    <row r="31" spans="1:32" ht="15" customHeight="1" x14ac:dyDescent="0.25">
      <c r="A31">
        <f t="shared" si="0"/>
        <v>28</v>
      </c>
      <c r="B31" t="str">
        <f t="shared" si="13"/>
        <v>limestone</v>
      </c>
      <c r="C31" s="218" t="s">
        <v>456</v>
      </c>
      <c r="D31" s="215">
        <f t="shared" si="12"/>
        <v>0.29980520433531621</v>
      </c>
      <c r="E31" s="80">
        <f>PS!E$17*VLOOKUP($C31,'portland cement'!$B$6:$Y$72,24,FALSE)</f>
        <v>0.29980520433531621</v>
      </c>
      <c r="F31" s="80">
        <f>PS!F$17*VLOOKUP($C31,'portland cement'!$B$6:$Y$72,24,FALSE)</f>
        <v>0.25469895748124582</v>
      </c>
      <c r="G31" s="80">
        <f>PS!G$17*VLOOKUP($C31,'portland cement'!$B$6:$Y$72,24,FALSE)</f>
        <v>0.22664358607019655</v>
      </c>
      <c r="H31" s="80">
        <f>PS!H$17*VLOOKUP($C31,'portland cement'!$B$6:$Y$72,24,FALSE)</f>
        <v>0.19254869274147565</v>
      </c>
      <c r="I31" s="80">
        <f>PS!I$17*VLOOKUP($C31,'portland cement'!$B$6:$Y$72,24,FALSE)</f>
        <v>0.1596876609826238</v>
      </c>
      <c r="J31" s="80">
        <f>PS!J$17*VLOOKUP($C31,'portland cement'!$B$6:$Y$72,24,FALSE)</f>
        <v>0.13093657951723789</v>
      </c>
      <c r="K31" s="80">
        <f>PS!K$17*VLOOKUP($C31,'portland cement'!$B$6:$Y$72,24,FALSE)</f>
        <v>0.10510155934343311</v>
      </c>
      <c r="L31" s="80">
        <f>PS!L$17*VLOOKUP($C31,'portland cement'!$B$6:$Y$72,24,FALSE)</f>
        <v>9.8055644750577264E-2</v>
      </c>
      <c r="M31" s="80">
        <f>PS!M$17*VLOOKUP($C31,'portland cement'!$B$6:$Y$72,24,FALSE)</f>
        <v>8.5138134663674869E-2</v>
      </c>
      <c r="N31" s="80">
        <f>PS!N$17*VLOOKUP($C31,'portland cement'!$B$6:$Y$72,24,FALSE)</f>
        <v>6.5761869533321277E-2</v>
      </c>
      <c r="O31" s="80">
        <f>PS!O$17*VLOOKUP($C31,'portland cement'!$B$6:$Y$72,24,FALSE)</f>
        <v>0.11887563917913768</v>
      </c>
      <c r="P31" s="80" t="e">
        <f>PS!P$17*VLOOKUP($C31,'portland cement'!$B$6:$Y$72,24,FALSE)</f>
        <v>#DIV/0!</v>
      </c>
      <c r="Q31" s="216" t="s">
        <v>1062</v>
      </c>
      <c r="T31" t="s">
        <v>232</v>
      </c>
      <c r="U31">
        <v>4.3907549921337575E-4</v>
      </c>
      <c r="V31">
        <v>4.3949646734633193E-4</v>
      </c>
      <c r="W31">
        <v>4.4052211297298323E-4</v>
      </c>
      <c r="X31">
        <v>1.7397304490417595E-4</v>
      </c>
      <c r="Y31">
        <v>1.7436102088162222E-4</v>
      </c>
      <c r="Z31">
        <v>1.7474633810166386E-4</v>
      </c>
      <c r="AA31">
        <v>1.7474633810166386E-4</v>
      </c>
      <c r="AB31">
        <v>1.7474633810166386E-4</v>
      </c>
      <c r="AC31">
        <v>1.7474633810166386E-4</v>
      </c>
      <c r="AD31">
        <v>1.7474633810166386E-4</v>
      </c>
      <c r="AE31">
        <v>1.9312579623556399E-4</v>
      </c>
      <c r="AF31" t="e">
        <v>#DIV/0!</v>
      </c>
    </row>
    <row r="32" spans="1:32" ht="15" customHeight="1" x14ac:dyDescent="0.25">
      <c r="A32">
        <f t="shared" si="0"/>
        <v>29</v>
      </c>
      <c r="B32" t="str">
        <f t="shared" si="13"/>
        <v>shale</v>
      </c>
      <c r="C32" s="218" t="s">
        <v>457</v>
      </c>
      <c r="D32" s="215">
        <f t="shared" si="12"/>
        <v>1.105799140960124E-2</v>
      </c>
      <c r="E32" s="80">
        <f>PS!E$17*VLOOKUP($C32,'portland cement'!$B$6:$Y$72,24,FALSE)</f>
        <v>1.105799140960124E-2</v>
      </c>
      <c r="F32" s="80">
        <f>PS!F$17*VLOOKUP($C32,'portland cement'!$B$6:$Y$72,24,FALSE)</f>
        <v>9.3942961734311582E-3</v>
      </c>
      <c r="G32" s="80">
        <f>PS!G$17*VLOOKUP($C32,'portland cement'!$B$6:$Y$72,24,FALSE)</f>
        <v>8.3595040765282215E-3</v>
      </c>
      <c r="H32" s="80">
        <f>PS!H$17*VLOOKUP($C32,'portland cement'!$B$6:$Y$72,24,FALSE)</f>
        <v>7.1019507315949956E-3</v>
      </c>
      <c r="I32" s="80">
        <f>PS!I$17*VLOOKUP($C32,'portland cement'!$B$6:$Y$72,24,FALSE)</f>
        <v>5.8899070390725687E-3</v>
      </c>
      <c r="J32" s="80">
        <f>PS!J$17*VLOOKUP($C32,'portland cement'!$B$6:$Y$72,24,FALSE)</f>
        <v>4.8294544276315894E-3</v>
      </c>
      <c r="K32" s="80">
        <f>PS!K$17*VLOOKUP($C32,'portland cement'!$B$6:$Y$72,24,FALSE)</f>
        <v>3.876557589892621E-3</v>
      </c>
      <c r="L32" s="80">
        <f>PS!L$17*VLOOKUP($C32,'portland cement'!$B$6:$Y$72,24,FALSE)</f>
        <v>3.6166766341456298E-3</v>
      </c>
      <c r="M32" s="80">
        <f>PS!M$17*VLOOKUP($C32,'portland cement'!$B$6:$Y$72,24,FALSE)</f>
        <v>3.1402282152761456E-3</v>
      </c>
      <c r="N32" s="80">
        <f>PS!N$17*VLOOKUP($C32,'portland cement'!$B$6:$Y$72,24,FALSE)</f>
        <v>2.4255555869719192E-3</v>
      </c>
      <c r="O32" s="80">
        <f>PS!O$17*VLOOKUP($C32,'portland cement'!$B$6:$Y$72,24,FALSE)</f>
        <v>4.3845996595293707E-3</v>
      </c>
      <c r="P32" s="80" t="e">
        <f>PS!P$17*VLOOKUP($C32,'portland cement'!$B$6:$Y$72,24,FALSE)</f>
        <v>#DIV/0!</v>
      </c>
      <c r="Q32" s="216" t="s">
        <v>1001</v>
      </c>
      <c r="T32" t="s">
        <v>760</v>
      </c>
      <c r="U32">
        <v>1.066511906006096E-2</v>
      </c>
      <c r="V32">
        <v>9.0605321946738045E-3</v>
      </c>
      <c r="W32">
        <v>8.0625045685809096E-3</v>
      </c>
      <c r="X32">
        <v>6.8496300372762756E-3</v>
      </c>
      <c r="Y32">
        <v>5.6806482748629024E-3</v>
      </c>
      <c r="Z32">
        <v>4.6578718103459657E-3</v>
      </c>
      <c r="AA32">
        <v>3.7388298387978827E-3</v>
      </c>
      <c r="AB32">
        <v>3.4881820283756784E-3</v>
      </c>
      <c r="AC32">
        <v>3.0286610426016368E-3</v>
      </c>
      <c r="AD32">
        <v>2.3393795639405747E-3</v>
      </c>
      <c r="AE32">
        <v>4.2288220045985526E-3</v>
      </c>
      <c r="AF32" t="e">
        <v>#DIV/0!</v>
      </c>
    </row>
    <row r="33" spans="1:32" ht="15" customHeight="1" x14ac:dyDescent="0.25">
      <c r="A33">
        <f t="shared" si="0"/>
        <v>30</v>
      </c>
      <c r="B33" t="str">
        <f t="shared" si="13"/>
        <v>clay</v>
      </c>
      <c r="C33" s="218" t="s">
        <v>458</v>
      </c>
      <c r="D33" s="215">
        <f t="shared" si="12"/>
        <v>1.3507270415111778E-2</v>
      </c>
      <c r="E33" s="80">
        <f>PS!E$17*VLOOKUP($C33,'portland cement'!$B$6:$Y$72,24,FALSE)</f>
        <v>1.3507270415111778E-2</v>
      </c>
      <c r="F33" s="80">
        <f>PS!F$17*VLOOKUP($C33,'portland cement'!$B$6:$Y$72,24,FALSE)</f>
        <v>1.1475076627750816E-2</v>
      </c>
      <c r="G33" s="80">
        <f>PS!G$17*VLOOKUP($C33,'portland cement'!$B$6:$Y$72,24,FALSE)</f>
        <v>1.021108426615858E-2</v>
      </c>
      <c r="H33" s="80">
        <f>PS!H$17*VLOOKUP($C33,'portland cement'!$B$6:$Y$72,24,FALSE)</f>
        <v>8.6749903715030805E-3</v>
      </c>
      <c r="I33" s="80">
        <f>PS!I$17*VLOOKUP($C33,'portland cement'!$B$6:$Y$72,24,FALSE)</f>
        <v>7.1944862452639939E-3</v>
      </c>
      <c r="J33" s="80">
        <f>PS!J$17*VLOOKUP($C33,'portland cement'!$B$6:$Y$72,24,FALSE)</f>
        <v>5.8991497185320292E-3</v>
      </c>
      <c r="K33" s="80">
        <f>PS!K$17*VLOOKUP($C33,'portland cement'!$B$6:$Y$72,24,FALSE)</f>
        <v>4.7351919265346785E-3</v>
      </c>
      <c r="L33" s="80">
        <f>PS!L$17*VLOOKUP($C33,'portland cement'!$B$6:$Y$72,24,FALSE)</f>
        <v>4.4177488923535834E-3</v>
      </c>
      <c r="M33" s="80">
        <f>PS!M$17*VLOOKUP($C33,'portland cement'!$B$6:$Y$72,24,FALSE)</f>
        <v>3.8357699963549072E-3</v>
      </c>
      <c r="N33" s="80">
        <f>PS!N$17*VLOOKUP($C33,'portland cement'!$B$6:$Y$72,24,FALSE)</f>
        <v>2.9628016523568939E-3</v>
      </c>
      <c r="O33" s="80">
        <f>PS!O$17*VLOOKUP($C33,'portland cement'!$B$6:$Y$72,24,FALSE)</f>
        <v>5.3557622781157423E-3</v>
      </c>
      <c r="P33" s="80" t="e">
        <f>PS!P$17*VLOOKUP($C33,'portland cement'!$B$6:$Y$72,24,FALSE)</f>
        <v>#DIV/0!</v>
      </c>
      <c r="Q33" s="216" t="s">
        <v>1002</v>
      </c>
      <c r="T33" t="s">
        <v>242</v>
      </c>
      <c r="U33">
        <v>1.6099187235994913E-5</v>
      </c>
      <c r="V33">
        <v>1.3678971091693693E-5</v>
      </c>
      <c r="W33">
        <v>1.217382401852763E-5</v>
      </c>
      <c r="X33">
        <v>1.0351056698255558E-5</v>
      </c>
      <c r="Y33">
        <v>8.5878892252266175E-6</v>
      </c>
      <c r="Z33">
        <v>7.0452536546775839E-6</v>
      </c>
      <c r="AA33">
        <v>5.6589927899117915E-6</v>
      </c>
      <c r="AB33">
        <v>5.2809216449756658E-6</v>
      </c>
      <c r="AC33">
        <v>4.5877912125927691E-6</v>
      </c>
      <c r="AD33">
        <v>3.5480955640184238E-6</v>
      </c>
      <c r="AE33">
        <v>6.3824582264404302E-6</v>
      </c>
      <c r="AF33" t="e">
        <v>#DIV/0!</v>
      </c>
    </row>
    <row r="34" spans="1:32" ht="15" customHeight="1" x14ac:dyDescent="0.25">
      <c r="A34">
        <f t="shared" si="0"/>
        <v>31</v>
      </c>
      <c r="B34" t="str">
        <f t="shared" si="13"/>
        <v>fa</v>
      </c>
      <c r="C34" s="218" t="s">
        <v>798</v>
      </c>
      <c r="D34" s="215">
        <f t="shared" si="12"/>
        <v>5.0894646903060668E-3</v>
      </c>
      <c r="E34" s="80">
        <f>PS!E$17*VLOOKUP($C34,'portland cement'!$B$6:$Y$72,24,FALSE)</f>
        <v>5.0894646903060668E-3</v>
      </c>
      <c r="F34" s="80">
        <f>PS!F$17*VLOOKUP($C34,'portland cement'!$B$6:$Y$72,24,FALSE)</f>
        <v>4.3237453253438026E-3</v>
      </c>
      <c r="G34" s="80">
        <f>PS!G$17*VLOOKUP($C34,'portland cement'!$B$6:$Y$72,24,FALSE)</f>
        <v>3.8474800033774159E-3</v>
      </c>
      <c r="H34" s="80">
        <f>PS!H$17*VLOOKUP($C34,'portland cement'!$B$6:$Y$72,24,FALSE)</f>
        <v>3.2686883306278038E-3</v>
      </c>
      <c r="I34" s="80">
        <f>PS!I$17*VLOOKUP($C34,'portland cement'!$B$6:$Y$72,24,FALSE)</f>
        <v>2.7108425747661142E-3</v>
      </c>
      <c r="J34" s="80">
        <f>PS!J$17*VLOOKUP($C34,'portland cement'!$B$6:$Y$72,24,FALSE)</f>
        <v>2.2227669449563828E-3</v>
      </c>
      <c r="K34" s="80">
        <f>PS!K$17*VLOOKUP($C34,'portland cement'!$B$6:$Y$72,24,FALSE)</f>
        <v>1.7841940948304597E-3</v>
      </c>
      <c r="L34" s="80">
        <f>PS!L$17*VLOOKUP($C34,'portland cement'!$B$6:$Y$72,24,FALSE)</f>
        <v>1.6645833175233898E-3</v>
      </c>
      <c r="M34" s="80">
        <f>PS!M$17*VLOOKUP($C34,'portland cement'!$B$6:$Y$72,24,FALSE)</f>
        <v>1.4452968924604283E-3</v>
      </c>
      <c r="N34" s="80">
        <f>PS!N$17*VLOOKUP($C34,'portland cement'!$B$6:$Y$72,24,FALSE)</f>
        <v>1.116367254865986E-3</v>
      </c>
      <c r="O34" s="80">
        <f>PS!O$17*VLOOKUP($C34,'portland cement'!$B$6:$Y$72,24,FALSE)</f>
        <v>2.0180215666406858E-3</v>
      </c>
      <c r="P34" s="80" t="e">
        <f>PS!P$17*VLOOKUP($C34,'portland cement'!$B$6:$Y$72,24,FALSE)</f>
        <v>#DIV/0!</v>
      </c>
      <c r="Q34" s="216" t="s">
        <v>1003</v>
      </c>
      <c r="T34" t="s">
        <v>243</v>
      </c>
      <c r="U34">
        <v>1.3419830637071923E-8</v>
      </c>
      <c r="V34">
        <v>1.1404147098978104E-8</v>
      </c>
      <c r="W34">
        <v>1.0150454443495861E-8</v>
      </c>
      <c r="X34">
        <v>8.6149725044762606E-9</v>
      </c>
      <c r="Y34">
        <v>7.1464998533319774E-9</v>
      </c>
      <c r="Z34">
        <v>5.861691864912063E-9</v>
      </c>
      <c r="AA34">
        <v>4.7071808137425059E-9</v>
      </c>
      <c r="AB34">
        <v>4.3923141634235364E-9</v>
      </c>
      <c r="AC34">
        <v>3.815058637838757E-9</v>
      </c>
      <c r="AD34">
        <v>2.9491753494615891E-9</v>
      </c>
      <c r="AE34">
        <v>5.3221308961758489E-9</v>
      </c>
      <c r="AF34" t="e">
        <v>#DIV/0!</v>
      </c>
    </row>
    <row r="35" spans="1:32" ht="15" customHeight="1" x14ac:dyDescent="0.25">
      <c r="A35">
        <f t="shared" si="0"/>
        <v>32</v>
      </c>
      <c r="B35" t="str">
        <f t="shared" si="13"/>
        <v>fndry_sand</v>
      </c>
      <c r="C35" s="218" t="s">
        <v>459</v>
      </c>
      <c r="D35" s="215">
        <f t="shared" si="12"/>
        <v>8.7549943155385468E-4</v>
      </c>
      <c r="E35" s="80">
        <f>PS!E$17*VLOOKUP($C35,'portland cement'!$B$6:$Y$72,24,FALSE)</f>
        <v>8.7549943155385468E-4</v>
      </c>
      <c r="F35" s="80">
        <f>PS!F$17*VLOOKUP($C35,'portland cement'!$B$6:$Y$72,24,FALSE)</f>
        <v>7.4377892467399921E-4</v>
      </c>
      <c r="G35" s="80">
        <f>PS!G$17*VLOOKUP($C35,'portland cement'!$B$6:$Y$72,24,FALSE)</f>
        <v>6.6185085482323668E-4</v>
      </c>
      <c r="H35" s="80">
        <f>PS!H$17*VLOOKUP($C35,'portland cement'!$B$6:$Y$72,24,FALSE)</f>
        <v>5.6228600639319159E-4</v>
      </c>
      <c r="I35" s="80">
        <f>PS!I$17*VLOOKUP($C35,'portland cement'!$B$6:$Y$72,24,FALSE)</f>
        <v>4.6632431457088941E-4</v>
      </c>
      <c r="J35" s="80">
        <f>PS!J$17*VLOOKUP($C35,'portland cement'!$B$6:$Y$72,24,FALSE)</f>
        <v>3.8236461301964194E-4</v>
      </c>
      <c r="K35" s="80">
        <f>PS!K$17*VLOOKUP($C35,'portland cement'!$B$6:$Y$72,24,FALSE)</f>
        <v>3.0692047412787403E-4</v>
      </c>
      <c r="L35" s="80">
        <f>PS!L$17*VLOOKUP($C35,'portland cement'!$B$6:$Y$72,24,FALSE)</f>
        <v>2.8634479988466459E-4</v>
      </c>
      <c r="M35" s="80">
        <f>PS!M$17*VLOOKUP($C35,'portland cement'!$B$6:$Y$72,24,FALSE)</f>
        <v>2.4862273043878063E-4</v>
      </c>
      <c r="N35" s="80">
        <f>PS!N$17*VLOOKUP($C35,'portland cement'!$B$6:$Y$72,24,FALSE)</f>
        <v>1.920396262699547E-4</v>
      </c>
      <c r="O35" s="80">
        <f>PS!O$17*VLOOKUP($C35,'portland cement'!$B$6:$Y$72,24,FALSE)</f>
        <v>3.4714392219333581E-4</v>
      </c>
      <c r="P35" s="80" t="e">
        <f>PS!P$17*VLOOKUP($C35,'portland cement'!$B$6:$Y$72,24,FALSE)</f>
        <v>#DIV/0!</v>
      </c>
      <c r="Q35" s="216" t="s">
        <v>1004</v>
      </c>
      <c r="T35" t="s">
        <v>758</v>
      </c>
      <c r="U35">
        <v>3.0144836628131656E-3</v>
      </c>
      <c r="V35">
        <v>2.5609490267688379E-3</v>
      </c>
      <c r="W35">
        <v>2.2788576636109995E-3</v>
      </c>
      <c r="X35">
        <v>1.9360400692578527E-3</v>
      </c>
      <c r="Y35">
        <v>1.6056287156595635E-3</v>
      </c>
      <c r="Z35">
        <v>1.3165421217234531E-3</v>
      </c>
      <c r="AA35">
        <v>1.0567759631771214E-3</v>
      </c>
      <c r="AB35">
        <v>9.8593064720994025E-4</v>
      </c>
      <c r="AC35">
        <v>8.560475679367744E-4</v>
      </c>
      <c r="AD35">
        <v>6.6122294902702574E-4</v>
      </c>
      <c r="AE35">
        <v>1.1952716865154523E-3</v>
      </c>
      <c r="AF35" t="e">
        <v>#DIV/0!</v>
      </c>
    </row>
    <row r="36" spans="1:32" ht="15" customHeight="1" x14ac:dyDescent="0.25">
      <c r="A36">
        <f t="shared" si="0"/>
        <v>33</v>
      </c>
      <c r="B36" t="str">
        <f t="shared" si="13"/>
        <v>sand</v>
      </c>
      <c r="C36" s="218" t="s">
        <v>460</v>
      </c>
      <c r="D36" s="215">
        <f t="shared" si="12"/>
        <v>8.8226937994057234E-3</v>
      </c>
      <c r="E36" s="80">
        <f>PS!E$17*VLOOKUP($C36,'portland cement'!$B$6:$Y$72,24,FALSE)</f>
        <v>8.8226937994057234E-3</v>
      </c>
      <c r="F36" s="80">
        <f>PS!F$17*VLOOKUP($C36,'portland cement'!$B$6:$Y$72,24,FALSE)</f>
        <v>7.4953032181909454E-3</v>
      </c>
      <c r="G36" s="80">
        <f>PS!G$17*VLOOKUP($C36,'portland cement'!$B$6:$Y$72,24,FALSE)</f>
        <v>6.6696872922197377E-3</v>
      </c>
      <c r="H36" s="80">
        <f>PS!H$17*VLOOKUP($C36,'portland cement'!$B$6:$Y$72,24,FALSE)</f>
        <v>5.6663397865297869E-3</v>
      </c>
      <c r="I36" s="80">
        <f>PS!I$17*VLOOKUP($C36,'portland cement'!$B$6:$Y$72,24,FALSE)</f>
        <v>4.6993024671354465E-3</v>
      </c>
      <c r="J36" s="80">
        <f>PS!J$17*VLOOKUP($C36,'portland cement'!$B$6:$Y$72,24,FALSE)</f>
        <v>3.8532131247797966E-3</v>
      </c>
      <c r="K36" s="80">
        <f>PS!K$17*VLOOKUP($C36,'portland cement'!$B$6:$Y$72,24,FALSE)</f>
        <v>3.092937889397236E-3</v>
      </c>
      <c r="L36" s="80">
        <f>PS!L$17*VLOOKUP($C36,'portland cement'!$B$6:$Y$72,24,FALSE)</f>
        <v>2.8855900979292649E-3</v>
      </c>
      <c r="M36" s="80">
        <f>PS!M$17*VLOOKUP($C36,'portland cement'!$B$6:$Y$72,24,FALSE)</f>
        <v>2.5054524802379844E-3</v>
      </c>
      <c r="N36" s="80">
        <f>PS!N$17*VLOOKUP($C36,'portland cement'!$B$6:$Y$72,24,FALSE)</f>
        <v>1.9352460537010638E-3</v>
      </c>
      <c r="O36" s="80">
        <f>PS!O$17*VLOOKUP($C36,'portland cement'!$B$6:$Y$72,24,FALSE)</f>
        <v>3.498282716644035E-3</v>
      </c>
      <c r="P36" s="80" t="e">
        <f>PS!P$17*VLOOKUP($C36,'portland cement'!$B$6:$Y$72,24,FALSE)</f>
        <v>#DIV/0!</v>
      </c>
      <c r="Q36" s="216" t="s">
        <v>1005</v>
      </c>
      <c r="T36" t="s">
        <v>753</v>
      </c>
      <c r="U36">
        <v>0.29980520433531621</v>
      </c>
      <c r="V36">
        <v>0.25469895748124582</v>
      </c>
      <c r="W36">
        <v>0.22664358607019655</v>
      </c>
      <c r="X36">
        <v>0.19254869274147565</v>
      </c>
      <c r="Y36">
        <v>0.1596876609826238</v>
      </c>
      <c r="Z36">
        <v>0.13093657951723789</v>
      </c>
      <c r="AA36">
        <v>0.10510155934343311</v>
      </c>
      <c r="AB36">
        <v>9.8055644750577264E-2</v>
      </c>
      <c r="AC36">
        <v>8.5138134663674869E-2</v>
      </c>
      <c r="AD36">
        <v>6.5761869533321277E-2</v>
      </c>
      <c r="AE36">
        <v>0.11887563917913768</v>
      </c>
      <c r="AF36" t="e">
        <v>#DIV/0!</v>
      </c>
    </row>
    <row r="37" spans="1:32" ht="15" customHeight="1" x14ac:dyDescent="0.25">
      <c r="A37">
        <f t="shared" si="0"/>
        <v>34</v>
      </c>
      <c r="B37" t="str">
        <f t="shared" si="13"/>
        <v>iron_in</v>
      </c>
      <c r="C37" s="218" t="s">
        <v>461</v>
      </c>
      <c r="D37" s="215">
        <f t="shared" si="12"/>
        <v>3.0144836628131656E-3</v>
      </c>
      <c r="E37" s="80">
        <f>PS!E$17*VLOOKUP($C37,'portland cement'!$B$6:$Y$72,24,FALSE)</f>
        <v>3.0144836628131656E-3</v>
      </c>
      <c r="F37" s="80">
        <f>PS!F$17*VLOOKUP($C37,'portland cement'!$B$6:$Y$72,24,FALSE)</f>
        <v>2.5609490267688379E-3</v>
      </c>
      <c r="G37" s="80">
        <f>PS!G$17*VLOOKUP($C37,'portland cement'!$B$6:$Y$72,24,FALSE)</f>
        <v>2.2788576636109995E-3</v>
      </c>
      <c r="H37" s="80">
        <f>PS!H$17*VLOOKUP($C37,'portland cement'!$B$6:$Y$72,24,FALSE)</f>
        <v>1.9360400692578527E-3</v>
      </c>
      <c r="I37" s="80">
        <f>PS!I$17*VLOOKUP($C37,'portland cement'!$B$6:$Y$72,24,FALSE)</f>
        <v>1.6056287156595635E-3</v>
      </c>
      <c r="J37" s="80">
        <f>PS!J$17*VLOOKUP($C37,'portland cement'!$B$6:$Y$72,24,FALSE)</f>
        <v>1.3165421217234531E-3</v>
      </c>
      <c r="K37" s="80">
        <f>PS!K$17*VLOOKUP($C37,'portland cement'!$B$6:$Y$72,24,FALSE)</f>
        <v>1.0567759631771214E-3</v>
      </c>
      <c r="L37" s="80">
        <f>PS!L$17*VLOOKUP($C37,'portland cement'!$B$6:$Y$72,24,FALSE)</f>
        <v>9.8593064720994025E-4</v>
      </c>
      <c r="M37" s="80">
        <f>PS!M$17*VLOOKUP($C37,'portland cement'!$B$6:$Y$72,24,FALSE)</f>
        <v>8.560475679367744E-4</v>
      </c>
      <c r="N37" s="80">
        <f>PS!N$17*VLOOKUP($C37,'portland cement'!$B$6:$Y$72,24,FALSE)</f>
        <v>6.6122294902702574E-4</v>
      </c>
      <c r="O37" s="80">
        <f>PS!O$17*VLOOKUP($C37,'portland cement'!$B$6:$Y$72,24,FALSE)</f>
        <v>1.1952716865154523E-3</v>
      </c>
      <c r="P37" s="80" t="e">
        <f>PS!P$17*VLOOKUP($C37,'portland cement'!$B$6:$Y$72,24,FALSE)</f>
        <v>#DIV/0!</v>
      </c>
      <c r="Q37" s="216" t="s">
        <v>1006</v>
      </c>
      <c r="T37" t="s">
        <v>233</v>
      </c>
      <c r="U37">
        <v>1.6813167332400596E-6</v>
      </c>
      <c r="V37">
        <v>1.6797367958733203E-6</v>
      </c>
      <c r="W37">
        <v>1.6787540998451298E-6</v>
      </c>
      <c r="X37">
        <v>6.7444067240459779E-9</v>
      </c>
      <c r="Y37">
        <v>5.5933827394217004E-9</v>
      </c>
      <c r="Z37">
        <v>4.5863180619216927E-9</v>
      </c>
      <c r="AA37">
        <v>3.6813943187622558E-9</v>
      </c>
      <c r="AB37">
        <v>3.4345969342642276E-9</v>
      </c>
      <c r="AC37">
        <v>2.9821350626845089E-9</v>
      </c>
      <c r="AD37">
        <v>2.3034422553149311E-9</v>
      </c>
      <c r="AE37">
        <v>1.4690376243685342E-6</v>
      </c>
      <c r="AF37" t="e">
        <v>#DIV/0!</v>
      </c>
    </row>
    <row r="38" spans="1:32" ht="15" customHeight="1" x14ac:dyDescent="0.25">
      <c r="A38">
        <f t="shared" si="0"/>
        <v>35</v>
      </c>
      <c r="B38" t="str">
        <f t="shared" si="13"/>
        <v>slag</v>
      </c>
      <c r="C38" s="218" t="s">
        <v>462</v>
      </c>
      <c r="D38" s="215">
        <f t="shared" si="12"/>
        <v>4.5326481049770889E-3</v>
      </c>
      <c r="E38" s="80">
        <f>PS!E$17*VLOOKUP($C38,'portland cement'!$B$6:$Y$72,24,FALSE)</f>
        <v>4.5326481049770889E-3</v>
      </c>
      <c r="F38" s="80">
        <f>PS!F$17*VLOOKUP($C38,'portland cement'!$B$6:$Y$72,24,FALSE)</f>
        <v>3.8507028239436625E-3</v>
      </c>
      <c r="G38" s="80">
        <f>PS!G$17*VLOOKUP($C38,'portland cement'!$B$6:$Y$72,24,FALSE)</f>
        <v>3.4265436558509918E-3</v>
      </c>
      <c r="H38" s="80">
        <f>PS!H$17*VLOOKUP($C38,'portland cement'!$B$6:$Y$72,24,FALSE)</f>
        <v>2.9110751069362176E-3</v>
      </c>
      <c r="I38" s="80">
        <f>PS!I$17*VLOOKUP($C38,'portland cement'!$B$6:$Y$72,24,FALSE)</f>
        <v>2.4142608716410828E-3</v>
      </c>
      <c r="J38" s="80">
        <f>PS!J$17*VLOOKUP($C38,'portland cement'!$B$6:$Y$72,24,FALSE)</f>
        <v>1.9795835110227233E-3</v>
      </c>
      <c r="K38" s="80">
        <f>PS!K$17*VLOOKUP($C38,'portland cement'!$B$6:$Y$72,24,FALSE)</f>
        <v>1.5889930424801231E-3</v>
      </c>
      <c r="L38" s="80">
        <f>PS!L$17*VLOOKUP($C38,'portland cement'!$B$6:$Y$72,24,FALSE)</f>
        <v>1.4824683692412322E-3</v>
      </c>
      <c r="M38" s="80">
        <f>PS!M$17*VLOOKUP($C38,'portland cement'!$B$6:$Y$72,24,FALSE)</f>
        <v>1.2871731349699321E-3</v>
      </c>
      <c r="N38" s="80">
        <f>PS!N$17*VLOOKUP($C38,'portland cement'!$B$6:$Y$72,24,FALSE)</f>
        <v>9.9423028356298193E-4</v>
      </c>
      <c r="O38" s="80">
        <f>PS!O$17*VLOOKUP($C38,'portland cement'!$B$6:$Y$72,24,FALSE)</f>
        <v>1.7972384497055472E-3</v>
      </c>
      <c r="P38" s="80" t="e">
        <f>PS!P$17*VLOOKUP($C38,'portland cement'!$B$6:$Y$72,24,FALSE)</f>
        <v>#DIV/0!</v>
      </c>
      <c r="Q38" s="216" t="s">
        <v>1007</v>
      </c>
      <c r="T38" t="s">
        <v>415</v>
      </c>
      <c r="U38">
        <v>1</v>
      </c>
      <c r="V38">
        <v>1</v>
      </c>
      <c r="W38">
        <v>1</v>
      </c>
      <c r="X38">
        <v>2</v>
      </c>
      <c r="Y38">
        <v>2</v>
      </c>
      <c r="Z38">
        <v>2</v>
      </c>
      <c r="AA38">
        <v>2</v>
      </c>
      <c r="AB38">
        <v>2</v>
      </c>
      <c r="AC38">
        <v>2</v>
      </c>
      <c r="AD38">
        <v>2</v>
      </c>
      <c r="AE38">
        <v>3</v>
      </c>
      <c r="AF38">
        <v>0</v>
      </c>
    </row>
    <row r="39" spans="1:32" ht="15" customHeight="1" x14ac:dyDescent="0.25">
      <c r="A39">
        <f t="shared" si="0"/>
        <v>36</v>
      </c>
      <c r="B39" t="str">
        <f t="shared" si="13"/>
        <v>slate</v>
      </c>
      <c r="C39" s="218" t="s">
        <v>463</v>
      </c>
      <c r="D39" s="215">
        <f t="shared" si="12"/>
        <v>2.2480005503104544E-4</v>
      </c>
      <c r="E39" s="80">
        <f>PS!E$17*VLOOKUP($C39,'portland cement'!$B$6:$Y$72,24,FALSE)</f>
        <v>2.2480005503104544E-4</v>
      </c>
      <c r="F39" s="80">
        <f>PS!F$17*VLOOKUP($C39,'portland cement'!$B$6:$Y$72,24,FALSE)</f>
        <v>1.9097847145473759E-4</v>
      </c>
      <c r="G39" s="80">
        <f>PS!G$17*VLOOKUP($C39,'portland cement'!$B$6:$Y$72,24,FALSE)</f>
        <v>1.6994198194114523E-4</v>
      </c>
      <c r="H39" s="80">
        <f>PS!H$17*VLOOKUP($C39,'portland cement'!$B$6:$Y$72,24,FALSE)</f>
        <v>1.4437693575201468E-4</v>
      </c>
      <c r="I39" s="80">
        <f>PS!I$17*VLOOKUP($C39,'portland cement'!$B$6:$Y$72,24,FALSE)</f>
        <v>1.1973706412555458E-4</v>
      </c>
      <c r="J39" s="80">
        <f>PS!J$17*VLOOKUP($C39,'portland cement'!$B$6:$Y$72,24,FALSE)</f>
        <v>9.8178917028174568E-5</v>
      </c>
      <c r="K39" s="80">
        <f>PS!K$17*VLOOKUP($C39,'portland cement'!$B$6:$Y$72,24,FALSE)</f>
        <v>7.8807292143691704E-5</v>
      </c>
      <c r="L39" s="80">
        <f>PS!L$17*VLOOKUP($C39,'portland cement'!$B$6:$Y$72,24,FALSE)</f>
        <v>7.3524121720650916E-5</v>
      </c>
      <c r="M39" s="80">
        <f>PS!M$17*VLOOKUP($C39,'portland cement'!$B$6:$Y$72,24,FALSE)</f>
        <v>6.3838309278409477E-5</v>
      </c>
      <c r="N39" s="80">
        <f>PS!N$17*VLOOKUP($C39,'portland cement'!$B$6:$Y$72,24,FALSE)</f>
        <v>4.9309590615047319E-5</v>
      </c>
      <c r="O39" s="80">
        <f>PS!O$17*VLOOKUP($C39,'portland cement'!$B$6:$Y$72,24,FALSE)</f>
        <v>8.9135378048448794E-5</v>
      </c>
      <c r="P39" s="80" t="e">
        <f>PS!P$17*VLOOKUP($C39,'portland cement'!$B$6:$Y$72,24,FALSE)</f>
        <v>#DIV/0!</v>
      </c>
      <c r="Q39" s="216" t="s">
        <v>1008</v>
      </c>
      <c r="T39" t="s">
        <v>316</v>
      </c>
      <c r="U39">
        <v>3.8118664871116146E-9</v>
      </c>
      <c r="V39">
        <v>3.8123137140670637E-9</v>
      </c>
      <c r="W39">
        <v>3.8134033366181942E-9</v>
      </c>
      <c r="X39">
        <v>3.820396895998917E-9</v>
      </c>
      <c r="Y39">
        <v>3.8208114208610651E-9</v>
      </c>
      <c r="Z39">
        <v>3.8212231050291745E-9</v>
      </c>
      <c r="AA39">
        <v>3.8212231050291745E-9</v>
      </c>
      <c r="AB39">
        <v>3.8212231050291745E-9</v>
      </c>
      <c r="AC39">
        <v>3.8212231050291745E-9</v>
      </c>
      <c r="AD39">
        <v>3.8212231050291745E-9</v>
      </c>
      <c r="AE39">
        <v>3.81435200774708E-9</v>
      </c>
      <c r="AF39" t="e">
        <v>#N/A</v>
      </c>
    </row>
    <row r="40" spans="1:32" ht="15" customHeight="1" x14ac:dyDescent="0.25">
      <c r="A40">
        <f t="shared" si="0"/>
        <v>37</v>
      </c>
      <c r="B40" t="str">
        <f t="shared" si="13"/>
        <v>gypsum</v>
      </c>
      <c r="C40" s="218" t="s">
        <v>464</v>
      </c>
      <c r="D40" s="215">
        <f t="shared" si="12"/>
        <v>1.066511906006096E-2</v>
      </c>
      <c r="E40" s="80">
        <f>PS!E$17*VLOOKUP($C40,'portland cement'!$B$6:$Y$72,24,FALSE)</f>
        <v>1.066511906006096E-2</v>
      </c>
      <c r="F40" s="80">
        <f>PS!F$17*VLOOKUP($C40,'portland cement'!$B$6:$Y$72,24,FALSE)</f>
        <v>9.0605321946738045E-3</v>
      </c>
      <c r="G40" s="80">
        <f>PS!G$17*VLOOKUP($C40,'portland cement'!$B$6:$Y$72,24,FALSE)</f>
        <v>8.0625045685809096E-3</v>
      </c>
      <c r="H40" s="80">
        <f>PS!H$17*VLOOKUP($C40,'portland cement'!$B$6:$Y$72,24,FALSE)</f>
        <v>6.8496300372762756E-3</v>
      </c>
      <c r="I40" s="80">
        <f>PS!I$17*VLOOKUP($C40,'portland cement'!$B$6:$Y$72,24,FALSE)</f>
        <v>5.6806482748629024E-3</v>
      </c>
      <c r="J40" s="80">
        <f>PS!J$17*VLOOKUP($C40,'portland cement'!$B$6:$Y$72,24,FALSE)</f>
        <v>4.6578718103459657E-3</v>
      </c>
      <c r="K40" s="80">
        <f>PS!K$17*VLOOKUP($C40,'portland cement'!$B$6:$Y$72,24,FALSE)</f>
        <v>3.7388298387978827E-3</v>
      </c>
      <c r="L40" s="80">
        <f>PS!L$17*VLOOKUP($C40,'portland cement'!$B$6:$Y$72,24,FALSE)</f>
        <v>3.4881820283756784E-3</v>
      </c>
      <c r="M40" s="80">
        <f>PS!M$17*VLOOKUP($C40,'portland cement'!$B$6:$Y$72,24,FALSE)</f>
        <v>3.0286610426016368E-3</v>
      </c>
      <c r="N40" s="80">
        <f>PS!N$17*VLOOKUP($C40,'portland cement'!$B$6:$Y$72,24,FALSE)</f>
        <v>2.3393795639405747E-3</v>
      </c>
      <c r="O40" s="80">
        <f>PS!O$17*VLOOKUP($C40,'portland cement'!$B$6:$Y$72,24,FALSE)</f>
        <v>4.2288220045985526E-3</v>
      </c>
      <c r="P40" s="80" t="e">
        <f>PS!P$17*VLOOKUP($C40,'portland cement'!$B$6:$Y$72,24,FALSE)</f>
        <v>#DIV/0!</v>
      </c>
      <c r="Q40" s="216" t="s">
        <v>1009</v>
      </c>
      <c r="T40" t="s">
        <v>234</v>
      </c>
      <c r="U40">
        <v>3.855495876605314E-3</v>
      </c>
      <c r="V40">
        <v>3.7529702910798434E-3</v>
      </c>
      <c r="W40">
        <v>3.6909579961389707E-3</v>
      </c>
      <c r="X40">
        <v>5.7530054831427002E-4</v>
      </c>
      <c r="Y40">
        <v>5.007890171877964E-4</v>
      </c>
      <c r="Z40">
        <v>4.3570147913443344E-4</v>
      </c>
      <c r="AA40">
        <v>3.76424367249415E-4</v>
      </c>
      <c r="AB40">
        <v>3.6025788218986446E-4</v>
      </c>
      <c r="AC40">
        <v>3.3061932624735518E-4</v>
      </c>
      <c r="AD40">
        <v>2.8616149233359127E-4</v>
      </c>
      <c r="AE40">
        <v>2.07421746529779E-3</v>
      </c>
      <c r="AF40" t="e">
        <v>#DIV/0!</v>
      </c>
    </row>
    <row r="41" spans="1:32" ht="15" customHeight="1" x14ac:dyDescent="0.25">
      <c r="A41">
        <f t="shared" si="0"/>
        <v>38</v>
      </c>
      <c r="B41" t="str">
        <f t="shared" si="13"/>
        <v>water_in</v>
      </c>
      <c r="C41" s="218" t="s">
        <v>465</v>
      </c>
      <c r="D41" s="215">
        <f t="shared" si="12"/>
        <v>0.18823958957604858</v>
      </c>
      <c r="E41" s="80">
        <f>PS!E$17*VLOOKUP($C41,'portland cement'!$B$6:$Y$72,24,FALSE)</f>
        <v>0.18823958957604858</v>
      </c>
      <c r="F41" s="80">
        <f>PS!F$17*VLOOKUP($C41,'portland cement'!$B$6:$Y$72,24,FALSE)</f>
        <v>0.1599185955694547</v>
      </c>
      <c r="G41" s="80">
        <f>PS!G$17*VLOOKUP($C41,'portland cement'!$B$6:$Y$72,24,FALSE)</f>
        <v>0.14230338568166084</v>
      </c>
      <c r="H41" s="80">
        <f>PS!H$17*VLOOKUP($C41,'portland cement'!$B$6:$Y$72,24,FALSE)</f>
        <v>0.12089612311906911</v>
      </c>
      <c r="I41" s="80">
        <f>PS!I$17*VLOOKUP($C41,'portland cement'!$B$6:$Y$72,24,FALSE)</f>
        <v>0.10026356890759069</v>
      </c>
      <c r="J41" s="80">
        <f>PS!J$17*VLOOKUP($C41,'portland cement'!$B$6:$Y$72,24,FALSE)</f>
        <v>8.2211541468938776E-2</v>
      </c>
      <c r="K41" s="80">
        <f>PS!K$17*VLOOKUP($C41,'portland cement'!$B$6:$Y$72,24,FALSE)</f>
        <v>6.5990430147713192E-2</v>
      </c>
      <c r="L41" s="80">
        <f>PS!L$17*VLOOKUP($C41,'portland cement'!$B$6:$Y$72,24,FALSE)</f>
        <v>6.1566490696469849E-2</v>
      </c>
      <c r="M41" s="80">
        <f>PS!M$17*VLOOKUP($C41,'portland cement'!$B$6:$Y$72,24,FALSE)</f>
        <v>5.345593503585705E-2</v>
      </c>
      <c r="N41" s="80">
        <f>PS!N$17*VLOOKUP($C41,'portland cement'!$B$6:$Y$72,24,FALSE)</f>
        <v>4.1290101544937861E-2</v>
      </c>
      <c r="O41" s="80">
        <f>PS!O$17*VLOOKUP($C41,'portland cement'!$B$6:$Y$72,24,FALSE)</f>
        <v>7.4638802816257038E-2</v>
      </c>
      <c r="P41" s="80" t="e">
        <f>PS!P$17*VLOOKUP($C41,'portland cement'!$B$6:$Y$72,24,FALSE)</f>
        <v>#DIV/0!</v>
      </c>
      <c r="Q41" s="216" t="s">
        <v>1010</v>
      </c>
      <c r="T41" t="s">
        <v>239</v>
      </c>
      <c r="U41">
        <v>1.1951388616587626E-6</v>
      </c>
      <c r="V41">
        <v>1.0377343601059642E-6</v>
      </c>
      <c r="W41">
        <v>9.3983125220337595E-7</v>
      </c>
      <c r="X41">
        <v>6.7193297746840113E-7</v>
      </c>
      <c r="Y41">
        <v>5.5725985156530936E-7</v>
      </c>
      <c r="Z41">
        <v>4.5692896698064828E-7</v>
      </c>
      <c r="AA41">
        <v>3.6677408253148319E-7</v>
      </c>
      <c r="AB41">
        <v>3.4218638677261998E-7</v>
      </c>
      <c r="AC41">
        <v>2.9710894454803744E-7</v>
      </c>
      <c r="AD41">
        <v>2.2949278121116362E-7</v>
      </c>
      <c r="AE41">
        <v>4.1492083843438796E-7</v>
      </c>
      <c r="AF41" t="e">
        <v>#DIV/0!</v>
      </c>
    </row>
    <row r="42" spans="1:32" ht="15" customHeight="1" x14ac:dyDescent="0.25">
      <c r="A42">
        <f t="shared" si="0"/>
        <v>39</v>
      </c>
      <c r="B42" t="str">
        <f t="shared" si="13"/>
        <v>coal</v>
      </c>
      <c r="C42" s="218" t="s">
        <v>466</v>
      </c>
      <c r="D42" s="215">
        <f t="shared" si="12"/>
        <v>2.2167871049375412E-2</v>
      </c>
      <c r="E42" s="80">
        <f>PS!E$17*VLOOKUP($C42,'portland cement'!$B$6:$Y$72,24,FALSE)</f>
        <v>2.2167871049375412E-2</v>
      </c>
      <c r="F42" s="80">
        <f>PS!F$17*VLOOKUP($C42,'portland cement'!$B$6:$Y$72,24,FALSE)</f>
        <v>1.8832673896947122E-2</v>
      </c>
      <c r="G42" s="80">
        <f>PS!G$17*VLOOKUP($C42,'portland cement'!$B$6:$Y$72,24,FALSE)</f>
        <v>1.6758234071723541E-2</v>
      </c>
      <c r="H42" s="80">
        <f>PS!H$17*VLOOKUP($C42,'portland cement'!$B$6:$Y$72,24,FALSE)</f>
        <v>1.4237226471375281E-2</v>
      </c>
      <c r="I42" s="80">
        <f>PS!I$17*VLOOKUP($C42,'portland cement'!$B$6:$Y$72,24,FALSE)</f>
        <v>1.1807451724153364E-2</v>
      </c>
      <c r="J42" s="80">
        <f>PS!J$17*VLOOKUP($C42,'portland cement'!$B$6:$Y$72,24,FALSE)</f>
        <v>9.6815704611252565E-3</v>
      </c>
      <c r="K42" s="80">
        <f>PS!K$17*VLOOKUP($C42,'portland cement'!$B$6:$Y$72,24,FALSE)</f>
        <v>7.7713054374054756E-3</v>
      </c>
      <c r="L42" s="80">
        <f>PS!L$17*VLOOKUP($C42,'portland cement'!$B$6:$Y$72,24,FALSE)</f>
        <v>7.2503240673000811E-3</v>
      </c>
      <c r="M42" s="80">
        <f>PS!M$17*VLOOKUP($C42,'portland cement'!$B$6:$Y$72,24,FALSE)</f>
        <v>6.2951915554401898E-3</v>
      </c>
      <c r="N42" s="80">
        <f>PS!N$17*VLOOKUP($C42,'portland cement'!$B$6:$Y$72,24,FALSE)</f>
        <v>4.8624927876503533E-3</v>
      </c>
      <c r="O42" s="80">
        <f>PS!O$17*VLOOKUP($C42,'portland cement'!$B$6:$Y$72,24,FALSE)</f>
        <v>8.7897735000218667E-3</v>
      </c>
      <c r="P42" s="80" t="e">
        <f>PS!P$17*VLOOKUP($C42,'portland cement'!$B$6:$Y$72,24,FALSE)</f>
        <v>#DIV/0!</v>
      </c>
      <c r="Q42" s="216" t="s">
        <v>1011</v>
      </c>
      <c r="T42" t="s">
        <v>317</v>
      </c>
      <c r="U42">
        <v>1.1779003610742216E-9</v>
      </c>
      <c r="V42">
        <v>1.1904934392997977E-9</v>
      </c>
      <c r="W42">
        <v>1.2211751812108553E-9</v>
      </c>
      <c r="X42">
        <v>1.1209678979982341E-9</v>
      </c>
      <c r="Y42">
        <v>1.1326402114548002E-9</v>
      </c>
      <c r="Z42">
        <v>1.1442325358098873E-9</v>
      </c>
      <c r="AA42">
        <v>1.1442325358098873E-9</v>
      </c>
      <c r="AB42">
        <v>1.1442325358098873E-9</v>
      </c>
      <c r="AC42">
        <v>1.1442325358098873E-9</v>
      </c>
      <c r="AD42">
        <v>1.1442325358098873E-9</v>
      </c>
      <c r="AE42">
        <v>1.1842604430001507E-9</v>
      </c>
      <c r="AF42" t="e">
        <v>#N/A</v>
      </c>
    </row>
    <row r="43" spans="1:32" ht="15" customHeight="1" x14ac:dyDescent="0.25">
      <c r="A43">
        <f t="shared" si="0"/>
        <v>40</v>
      </c>
      <c r="B43" t="str">
        <f t="shared" si="13"/>
        <v>gasoline</v>
      </c>
      <c r="C43" s="218" t="s">
        <v>467</v>
      </c>
      <c r="D43" s="215">
        <f t="shared" si="12"/>
        <v>0</v>
      </c>
      <c r="E43" s="80">
        <f>PS!E$17*VLOOKUP($C43,'portland cement'!$B$6:$Y$72,24,FALSE)</f>
        <v>0</v>
      </c>
      <c r="F43" s="80">
        <f>PS!F$17*VLOOKUP($C43,'portland cement'!$B$6:$Y$72,24,FALSE)</f>
        <v>0</v>
      </c>
      <c r="G43" s="80">
        <f>PS!G$17*VLOOKUP($C43,'portland cement'!$B$6:$Y$72,24,FALSE)</f>
        <v>0</v>
      </c>
      <c r="H43" s="80">
        <f>PS!H$17*VLOOKUP($C43,'portland cement'!$B$6:$Y$72,24,FALSE)</f>
        <v>0</v>
      </c>
      <c r="I43" s="80">
        <f>PS!I$17*VLOOKUP($C43,'portland cement'!$B$6:$Y$72,24,FALSE)</f>
        <v>0</v>
      </c>
      <c r="J43" s="80">
        <f>PS!J$17*VLOOKUP($C43,'portland cement'!$B$6:$Y$72,24,FALSE)</f>
        <v>0</v>
      </c>
      <c r="K43" s="80">
        <f>PS!K$17*VLOOKUP($C43,'portland cement'!$B$6:$Y$72,24,FALSE)</f>
        <v>0</v>
      </c>
      <c r="L43" s="80">
        <f>PS!L$17*VLOOKUP($C43,'portland cement'!$B$6:$Y$72,24,FALSE)</f>
        <v>0</v>
      </c>
      <c r="M43" s="80">
        <f>PS!M$17*VLOOKUP($C43,'portland cement'!$B$6:$Y$72,24,FALSE)</f>
        <v>0</v>
      </c>
      <c r="N43" s="80">
        <f>PS!N$17*VLOOKUP($C43,'portland cement'!$B$6:$Y$72,24,FALSE)</f>
        <v>0</v>
      </c>
      <c r="O43" s="80">
        <f>PS!O$17*VLOOKUP($C43,'portland cement'!$B$6:$Y$72,24,FALSE)</f>
        <v>0</v>
      </c>
      <c r="P43" s="80" t="e">
        <f>PS!P$17*VLOOKUP($C43,'portland cement'!$B$6:$Y$72,24,FALSE)</f>
        <v>#DIV/0!</v>
      </c>
      <c r="Q43" s="216" t="s">
        <v>1012</v>
      </c>
      <c r="T43" t="s">
        <v>767</v>
      </c>
      <c r="U43">
        <v>1.2958520547731506E-6</v>
      </c>
      <c r="V43">
        <v>1.1008887191681498E-6</v>
      </c>
      <c r="W43">
        <v>9.7962461112494745E-7</v>
      </c>
      <c r="X43">
        <v>8.322557965133132E-7</v>
      </c>
      <c r="Y43">
        <v>6.9022011830991866E-7</v>
      </c>
      <c r="Z43">
        <v>5.6594893337011221E-7</v>
      </c>
      <c r="AA43">
        <v>4.542818792522425E-7</v>
      </c>
      <c r="AB43">
        <v>4.238272281291872E-7</v>
      </c>
      <c r="AC43">
        <v>3.6799370107025231E-7</v>
      </c>
      <c r="AD43">
        <v>2.8424341048185004E-7</v>
      </c>
      <c r="AE43">
        <v>5.1381776922213051E-7</v>
      </c>
      <c r="AF43" t="e">
        <v>#DIV/0!</v>
      </c>
    </row>
    <row r="44" spans="1:32" ht="15" customHeight="1" x14ac:dyDescent="0.25">
      <c r="A44">
        <f t="shared" si="0"/>
        <v>41</v>
      </c>
      <c r="B44" t="str">
        <f t="shared" si="13"/>
        <v>LPG</v>
      </c>
      <c r="C44" s="218" t="s">
        <v>468</v>
      </c>
      <c r="D44" s="215">
        <f t="shared" si="12"/>
        <v>1.0501282596282917E-8</v>
      </c>
      <c r="E44" s="80">
        <f>PS!E$17*VLOOKUP($C44,'portland cement'!$B$6:$Y$72,24,FALSE)</f>
        <v>1.0501282596282917E-8</v>
      </c>
      <c r="F44" s="80">
        <f>PS!F$17*VLOOKUP($C44,'portland cement'!$B$6:$Y$72,24,FALSE)</f>
        <v>8.921345229543573E-9</v>
      </c>
      <c r="G44" s="80">
        <f>PS!G$17*VLOOKUP($C44,'portland cement'!$B$6:$Y$72,24,FALSE)</f>
        <v>7.9386492013532442E-9</v>
      </c>
      <c r="H44" s="80">
        <f>PS!H$17*VLOOKUP($C44,'portland cement'!$B$6:$Y$72,24,FALSE)</f>
        <v>6.7444067240459779E-9</v>
      </c>
      <c r="I44" s="80">
        <f>PS!I$17*VLOOKUP($C44,'portland cement'!$B$6:$Y$72,24,FALSE)</f>
        <v>5.5933827394217004E-9</v>
      </c>
      <c r="J44" s="80">
        <f>PS!J$17*VLOOKUP($C44,'portland cement'!$B$6:$Y$72,24,FALSE)</f>
        <v>4.5863180619216927E-9</v>
      </c>
      <c r="K44" s="80">
        <f>PS!K$17*VLOOKUP($C44,'portland cement'!$B$6:$Y$72,24,FALSE)</f>
        <v>3.6813943187622558E-9</v>
      </c>
      <c r="L44" s="80">
        <f>PS!L$17*VLOOKUP($C44,'portland cement'!$B$6:$Y$72,24,FALSE)</f>
        <v>3.4345969342642276E-9</v>
      </c>
      <c r="M44" s="80">
        <f>PS!M$17*VLOOKUP($C44,'portland cement'!$B$6:$Y$72,24,FALSE)</f>
        <v>2.9821350626845089E-9</v>
      </c>
      <c r="N44" s="80">
        <f>PS!N$17*VLOOKUP($C44,'portland cement'!$B$6:$Y$72,24,FALSE)</f>
        <v>2.3034422553149311E-9</v>
      </c>
      <c r="O44" s="80">
        <f>PS!O$17*VLOOKUP($C44,'portland cement'!$B$6:$Y$72,24,FALSE)</f>
        <v>4.1638592752301815E-9</v>
      </c>
      <c r="P44" s="80" t="e">
        <f>PS!P$17*VLOOKUP($C44,'portland cement'!$B$6:$Y$72,24,FALSE)</f>
        <v>#DIV/0!</v>
      </c>
      <c r="Q44" s="216" t="s">
        <v>1013</v>
      </c>
      <c r="T44" t="s">
        <v>514</v>
      </c>
      <c r="U44">
        <v>6.6638318284737662E-6</v>
      </c>
      <c r="V44">
        <v>6.347907972391089E-6</v>
      </c>
      <c r="W44">
        <v>6.1688320482614709E-6</v>
      </c>
      <c r="X44">
        <v>2.9180204290248055E-6</v>
      </c>
      <c r="Y44">
        <v>2.6897208868033248E-6</v>
      </c>
      <c r="Z44">
        <v>2.4910217203713905E-6</v>
      </c>
      <c r="AA44">
        <v>2.3045732325924803E-6</v>
      </c>
      <c r="AB44">
        <v>2.253723645016414E-6</v>
      </c>
      <c r="AC44">
        <v>2.160499401126959E-6</v>
      </c>
      <c r="AD44">
        <v>2.0206630352927768E-6</v>
      </c>
      <c r="AE44">
        <v>2.5366795969142203E-6</v>
      </c>
      <c r="AF44" t="e">
        <v>#DIV/0!</v>
      </c>
    </row>
    <row r="45" spans="1:32" ht="15" customHeight="1" x14ac:dyDescent="0.25">
      <c r="A45">
        <f t="shared" si="0"/>
        <v>42</v>
      </c>
      <c r="B45" t="str">
        <f t="shared" si="13"/>
        <v>distillate</v>
      </c>
      <c r="C45" s="218" t="s">
        <v>469</v>
      </c>
      <c r="D45" s="215">
        <f t="shared" si="12"/>
        <v>1.7838494621956171E-4</v>
      </c>
      <c r="E45" s="80">
        <f>PS!E$17*VLOOKUP($C45,'portland cement'!$B$6:$Y$72,24,FALSE)</f>
        <v>1.7838494621956171E-4</v>
      </c>
      <c r="F45" s="80">
        <f>PS!F$17*VLOOKUP($C45,'portland cement'!$B$6:$Y$72,24,FALSE)</f>
        <v>1.515466015114749E-4</v>
      </c>
      <c r="G45" s="80">
        <f>PS!G$17*VLOOKUP($C45,'portland cement'!$B$6:$Y$72,24,FALSE)</f>
        <v>1.3485357601371732E-4</v>
      </c>
      <c r="H45" s="80">
        <f>PS!H$17*VLOOKUP($C45,'portland cement'!$B$6:$Y$72,24,FALSE)</f>
        <v>1.1456701785909916E-4</v>
      </c>
      <c r="I45" s="80">
        <f>PS!I$17*VLOOKUP($C45,'portland cement'!$B$6:$Y$72,24,FALSE)</f>
        <v>9.5014610835284259E-5</v>
      </c>
      <c r="J45" s="80">
        <f>PS!J$17*VLOOKUP($C45,'portland cement'!$B$6:$Y$72,24,FALSE)</f>
        <v>7.7907635883572439E-5</v>
      </c>
      <c r="K45" s="80">
        <f>PS!K$17*VLOOKUP($C45,'portland cement'!$B$6:$Y$72,24,FALSE)</f>
        <v>6.253572566439222E-5</v>
      </c>
      <c r="L45" s="80">
        <f>PS!L$17*VLOOKUP($C45,'portland cement'!$B$6:$Y$72,24,FALSE)</f>
        <v>5.8343386513706715E-5</v>
      </c>
      <c r="M45" s="80">
        <f>PS!M$17*VLOOKUP($C45,'portland cement'!$B$6:$Y$72,24,FALSE)</f>
        <v>5.0657431404116606E-5</v>
      </c>
      <c r="N45" s="80">
        <f>PS!N$17*VLOOKUP($C45,'portland cement'!$B$6:$Y$72,24,FALSE)</f>
        <v>3.9128498739731448E-5</v>
      </c>
      <c r="O45" s="80">
        <f>PS!O$17*VLOOKUP($C45,'portland cement'!$B$6:$Y$72,24,FALSE)</f>
        <v>7.0731342202015718E-5</v>
      </c>
      <c r="P45" s="80" t="e">
        <f>PS!P$17*VLOOKUP($C45,'portland cement'!$B$6:$Y$72,24,FALSE)</f>
        <v>#DIV/0!</v>
      </c>
      <c r="Q45" s="216" t="s">
        <v>1014</v>
      </c>
      <c r="T45" t="s">
        <v>245</v>
      </c>
      <c r="U45">
        <v>5.2834826698880443E-4</v>
      </c>
      <c r="V45">
        <v>4.544396779688615E-4</v>
      </c>
      <c r="W45">
        <v>4.0872691723605706E-4</v>
      </c>
      <c r="X45">
        <v>3.3938073107899852E-4</v>
      </c>
      <c r="Y45">
        <v>2.8556396475086737E-4</v>
      </c>
      <c r="Z45">
        <v>2.3849355516022313E-4</v>
      </c>
      <c r="AA45">
        <v>1.9608053260986952E-4</v>
      </c>
      <c r="AB45">
        <v>1.8451334464159128E-4</v>
      </c>
      <c r="AC45">
        <v>1.6330683336641445E-4</v>
      </c>
      <c r="AD45">
        <v>1.3149706645364923E-4</v>
      </c>
      <c r="AE45">
        <v>2.2083709530400914E-4</v>
      </c>
      <c r="AF45" t="e">
        <v>#DIV/0!</v>
      </c>
    </row>
    <row r="46" spans="1:32" ht="15" customHeight="1" x14ac:dyDescent="0.25">
      <c r="A46">
        <f t="shared" si="0"/>
        <v>43</v>
      </c>
      <c r="B46" t="str">
        <f t="shared" si="13"/>
        <v>nat_gas</v>
      </c>
      <c r="C46" s="218" t="s">
        <v>470</v>
      </c>
      <c r="D46" s="215">
        <f t="shared" si="12"/>
        <v>6.878874690841052E-4</v>
      </c>
      <c r="E46" s="80">
        <f>PS!E$17*VLOOKUP($C46,'portland cement'!$B$6:$Y$72,24,FALSE)</f>
        <v>6.878874690841052E-4</v>
      </c>
      <c r="F46" s="80">
        <f>PS!F$17*VLOOKUP($C46,'portland cement'!$B$6:$Y$72,24,FALSE)</f>
        <v>5.843935285532191E-4</v>
      </c>
      <c r="G46" s="80">
        <f>PS!G$17*VLOOKUP($C46,'portland cement'!$B$6:$Y$72,24,FALSE)</f>
        <v>5.200219360822078E-4</v>
      </c>
      <c r="H46" s="80">
        <f>PS!H$17*VLOOKUP($C46,'portland cement'!$B$6:$Y$72,24,FALSE)</f>
        <v>4.4179297427154179E-4</v>
      </c>
      <c r="I46" s="80">
        <f>PS!I$17*VLOOKUP($C46,'portland cement'!$B$6:$Y$72,24,FALSE)</f>
        <v>3.6639504374460255E-4</v>
      </c>
      <c r="J46" s="80">
        <f>PS!J$17*VLOOKUP($C46,'portland cement'!$B$6:$Y$72,24,FALSE)</f>
        <v>3.0042718068998015E-4</v>
      </c>
      <c r="K46" s="80">
        <f>PS!K$17*VLOOKUP($C46,'portland cement'!$B$6:$Y$72,24,FALSE)</f>
        <v>2.4115006880496165E-4</v>
      </c>
      <c r="L46" s="80">
        <f>PS!L$17*VLOOKUP($C46,'portland cement'!$B$6:$Y$72,24,FALSE)</f>
        <v>2.2498358374541116E-4</v>
      </c>
      <c r="M46" s="80">
        <f>PS!M$17*VLOOKUP($C46,'portland cement'!$B$6:$Y$72,24,FALSE)</f>
        <v>1.9534502780290189E-4</v>
      </c>
      <c r="N46" s="80">
        <f>PS!N$17*VLOOKUP($C46,'portland cement'!$B$6:$Y$72,24,FALSE)</f>
        <v>1.50887193889138E-4</v>
      </c>
      <c r="O46" s="80">
        <f>PS!O$17*VLOOKUP($C46,'portland cement'!$B$6:$Y$72,24,FALSE)</f>
        <v>2.7275397954477627E-4</v>
      </c>
      <c r="P46" s="80" t="e">
        <f>PS!P$17*VLOOKUP($C46,'portland cement'!$B$6:$Y$72,24,FALSE)</f>
        <v>#DIV/0!</v>
      </c>
      <c r="Q46" s="216" t="s">
        <v>1015</v>
      </c>
      <c r="T46" t="s">
        <v>236</v>
      </c>
      <c r="U46">
        <v>1.6540798526717015E-6</v>
      </c>
      <c r="V46">
        <v>1.4052328843958576E-6</v>
      </c>
      <c r="W46">
        <v>1.2504554625592513E-6</v>
      </c>
      <c r="X46">
        <v>1.0624037271559024E-6</v>
      </c>
      <c r="Y46">
        <v>8.8111263036305345E-7</v>
      </c>
      <c r="Z46">
        <v>7.224958149102949E-7</v>
      </c>
      <c r="AA46">
        <v>5.7996595313595049E-7</v>
      </c>
      <c r="AB46">
        <v>5.4109417265203837E-7</v>
      </c>
      <c r="AC46">
        <v>4.6982924176486611E-7</v>
      </c>
      <c r="AD46">
        <v>3.6293184543410772E-7</v>
      </c>
      <c r="AE46">
        <v>6.5585718491669447E-7</v>
      </c>
      <c r="AF46" t="e">
        <v>#DIV/0!</v>
      </c>
    </row>
    <row r="47" spans="1:32" ht="15" customHeight="1" x14ac:dyDescent="0.25">
      <c r="A47">
        <f t="shared" si="0"/>
        <v>44</v>
      </c>
      <c r="B47" t="str">
        <f t="shared" si="13"/>
        <v>pet_coke</v>
      </c>
      <c r="C47" s="218" t="s">
        <v>471</v>
      </c>
      <c r="D47" s="215">
        <f t="shared" si="12"/>
        <v>4.940670071172883E-3</v>
      </c>
      <c r="E47" s="80">
        <f>PS!E$17*VLOOKUP($C47,'portland cement'!$B$6:$Y$72,24,FALSE)</f>
        <v>4.940670071172883E-3</v>
      </c>
      <c r="F47" s="80">
        <f>PS!F$17*VLOOKUP($C47,'portland cement'!$B$6:$Y$72,24,FALSE)</f>
        <v>4.1973371315432223E-3</v>
      </c>
      <c r="G47" s="80">
        <f>PS!G$17*VLOOKUP($C47,'portland cement'!$B$6:$Y$72,24,FALSE)</f>
        <v>3.7349958117068264E-3</v>
      </c>
      <c r="H47" s="80">
        <f>PS!H$17*VLOOKUP($C47,'portland cement'!$B$6:$Y$72,24,FALSE)</f>
        <v>3.1731255819270952E-3</v>
      </c>
      <c r="I47" s="80">
        <f>PS!I$17*VLOOKUP($C47,'portland cement'!$B$6:$Y$72,24,FALSE)</f>
        <v>2.6315888982035036E-3</v>
      </c>
      <c r="J47" s="80">
        <f>PS!J$17*VLOOKUP($C47,'portland cement'!$B$6:$Y$72,24,FALSE)</f>
        <v>2.1577825544316638E-3</v>
      </c>
      <c r="K47" s="80">
        <f>PS!K$17*VLOOKUP($C47,'portland cement'!$B$6:$Y$72,24,FALSE)</f>
        <v>1.7320317365168961E-3</v>
      </c>
      <c r="L47" s="80">
        <f>PS!L$17*VLOOKUP($C47,'portland cement'!$B$6:$Y$72,24,FALSE)</f>
        <v>1.6159178770855959E-3</v>
      </c>
      <c r="M47" s="80">
        <f>PS!M$17*VLOOKUP($C47,'portland cement'!$B$6:$Y$72,24,FALSE)</f>
        <v>1.4030424681282119E-3</v>
      </c>
      <c r="N47" s="80">
        <f>PS!N$17*VLOOKUP($C47,'portland cement'!$B$6:$Y$72,24,FALSE)</f>
        <v>1.0837293546921362E-3</v>
      </c>
      <c r="O47" s="80">
        <f>PS!O$17*VLOOKUP($C47,'portland cement'!$B$6:$Y$72,24,FALSE)</f>
        <v>1.9590230729517951E-3</v>
      </c>
      <c r="P47" s="80" t="e">
        <f>PS!P$17*VLOOKUP($C47,'portland cement'!$B$6:$Y$72,24,FALSE)</f>
        <v>#DIV/0!</v>
      </c>
      <c r="Q47" s="216" t="s">
        <v>1016</v>
      </c>
      <c r="T47" t="s">
        <v>318</v>
      </c>
      <c r="U47">
        <v>1.8698140200286121E-9</v>
      </c>
      <c r="V47">
        <v>1.8698140200286121E-9</v>
      </c>
      <c r="W47">
        <v>1.8698140200286121E-9</v>
      </c>
      <c r="X47">
        <v>1.8996941896024462E-9</v>
      </c>
      <c r="Y47">
        <v>1.8996941896024462E-9</v>
      </c>
      <c r="Z47">
        <v>1.8996941896024462E-9</v>
      </c>
      <c r="AA47">
        <v>1.8996941896024462E-9</v>
      </c>
      <c r="AB47">
        <v>1.8996941896024462E-9</v>
      </c>
      <c r="AC47">
        <v>1.8996941896024462E-9</v>
      </c>
      <c r="AD47">
        <v>1.8996941896024462E-9</v>
      </c>
      <c r="AE47">
        <v>1.8715697036223929E-9</v>
      </c>
      <c r="AF47" t="e">
        <v>#N/A</v>
      </c>
    </row>
    <row r="48" spans="1:32" ht="15" customHeight="1" x14ac:dyDescent="0.25">
      <c r="A48">
        <f t="shared" si="0"/>
        <v>45</v>
      </c>
      <c r="B48" t="str">
        <f t="shared" si="13"/>
        <v>res_oil</v>
      </c>
      <c r="C48" s="218" t="s">
        <v>785</v>
      </c>
      <c r="D48" s="215">
        <f t="shared" si="12"/>
        <v>1.8492802796112527E-5</v>
      </c>
      <c r="E48" s="80">
        <f>PS!E$17*VLOOKUP($C48,'portland cement'!$B$6:$Y$72,24,FALSE)</f>
        <v>1.8492802796112527E-5</v>
      </c>
      <c r="F48" s="80">
        <f>PS!F$17*VLOOKUP($C48,'portland cement'!$B$6:$Y$72,24,FALSE)</f>
        <v>1.5710526451729416E-5</v>
      </c>
      <c r="G48" s="80">
        <f>PS!G$17*VLOOKUP($C48,'portland cement'!$B$6:$Y$72,24,FALSE)</f>
        <v>1.397999461514411E-5</v>
      </c>
      <c r="H48" s="80">
        <f>PS!H$17*VLOOKUP($C48,'portland cement'!$B$6:$Y$72,24,FALSE)</f>
        <v>1.1876928592389762E-5</v>
      </c>
      <c r="I48" s="80">
        <f>PS!I$17*VLOOKUP($C48,'portland cement'!$B$6:$Y$72,24,FALSE)</f>
        <v>9.8499705169269826E-6</v>
      </c>
      <c r="J48" s="80">
        <f>PS!J$17*VLOOKUP($C48,'portland cement'!$B$6:$Y$72,24,FALSE)</f>
        <v>8.0765253864692665E-6</v>
      </c>
      <c r="K48" s="80">
        <f>PS!K$17*VLOOKUP($C48,'portland cement'!$B$6:$Y$72,24,FALSE)</f>
        <v>6.4829508707533573E-6</v>
      </c>
      <c r="L48" s="80">
        <f>PS!L$17*VLOOKUP($C48,'portland cement'!$B$6:$Y$72,24,FALSE)</f>
        <v>6.0483396391944733E-6</v>
      </c>
      <c r="M48" s="80">
        <f>PS!M$17*VLOOKUP($C48,'portland cement'!$B$6:$Y$72,24,FALSE)</f>
        <v>5.2515523813365183E-6</v>
      </c>
      <c r="N48" s="80">
        <f>PS!N$17*VLOOKUP($C48,'portland cement'!$B$6:$Y$72,24,FALSE)</f>
        <v>4.0563714945495863E-6</v>
      </c>
      <c r="O48" s="80">
        <f>PS!O$17*VLOOKUP($C48,'portland cement'!$B$6:$Y$72,24,FALSE)</f>
        <v>7.3325736872228881E-6</v>
      </c>
      <c r="P48" s="80" t="e">
        <f>PS!P$17*VLOOKUP($C48,'portland cement'!$B$6:$Y$72,24,FALSE)</f>
        <v>#DIV/0!</v>
      </c>
      <c r="Q48" s="216" t="s">
        <v>1017</v>
      </c>
      <c r="T48" t="s">
        <v>769</v>
      </c>
      <c r="U48">
        <v>1.2121490214572046E-9</v>
      </c>
      <c r="V48">
        <v>1.0297789618480427E-9</v>
      </c>
      <c r="W48">
        <v>9.1634767209469191E-10</v>
      </c>
      <c r="X48">
        <v>7.7849785832403595E-10</v>
      </c>
      <c r="Y48">
        <v>6.4563669742832343E-10</v>
      </c>
      <c r="Z48">
        <v>5.2939256703916143E-10</v>
      </c>
      <c r="AA48">
        <v>4.2493842825116546E-10</v>
      </c>
      <c r="AB48">
        <v>3.964509358544393E-10</v>
      </c>
      <c r="AC48">
        <v>3.4422386646044127E-10</v>
      </c>
      <c r="AD48">
        <v>2.658832623694443E-10</v>
      </c>
      <c r="AE48">
        <v>4.8062871365277857E-10</v>
      </c>
      <c r="AF48" t="e">
        <v>#DIV/0!</v>
      </c>
    </row>
    <row r="49" spans="1:32" ht="15" customHeight="1" x14ac:dyDescent="0.25">
      <c r="A49">
        <f t="shared" si="0"/>
        <v>46</v>
      </c>
      <c r="B49" t="str">
        <f t="shared" si="13"/>
        <v>waste_en</v>
      </c>
      <c r="C49" s="218" t="s">
        <v>472</v>
      </c>
      <c r="D49" s="215">
        <f t="shared" si="12"/>
        <v>8.8913912736232414E-5</v>
      </c>
      <c r="E49" s="80">
        <f>PS!E$17*VLOOKUP($C49,'portland cement'!$B$6:$Y$72,24,FALSE)</f>
        <v>8.8913912736232414E-5</v>
      </c>
      <c r="F49" s="80">
        <f>PS!F$17*VLOOKUP($C49,'portland cement'!$B$6:$Y$72,24,FALSE)</f>
        <v>7.5536650305003372E-5</v>
      </c>
      <c r="G49" s="80">
        <f>PS!G$17*VLOOKUP($C49,'portland cement'!$B$6:$Y$72,24,FALSE)</f>
        <v>6.7216204864587847E-5</v>
      </c>
      <c r="H49" s="80">
        <f>PS!H$17*VLOOKUP($C49,'portland cement'!$B$6:$Y$72,24,FALSE)</f>
        <v>5.7104604644364654E-5</v>
      </c>
      <c r="I49" s="80">
        <f>PS!I$17*VLOOKUP($C49,'portland cement'!$B$6:$Y$72,24,FALSE)</f>
        <v>4.7358933562013349E-5</v>
      </c>
      <c r="J49" s="80">
        <f>PS!J$17*VLOOKUP($C49,'portland cement'!$B$6:$Y$72,24,FALSE)</f>
        <v>3.8832159805189356E-5</v>
      </c>
      <c r="K49" s="80">
        <f>PS!K$17*VLOOKUP($C49,'portland cement'!$B$6:$Y$72,24,FALSE)</f>
        <v>3.1170208991609393E-5</v>
      </c>
      <c r="L49" s="80">
        <f>PS!L$17*VLOOKUP($C49,'portland cement'!$B$6:$Y$72,24,FALSE)</f>
        <v>2.9080586042451224E-5</v>
      </c>
      <c r="M49" s="80">
        <f>PS!M$17*VLOOKUP($C49,'portland cement'!$B$6:$Y$72,24,FALSE)</f>
        <v>2.5249610635661239E-5</v>
      </c>
      <c r="N49" s="80">
        <f>PS!N$17*VLOOKUP($C49,'portland cement'!$B$6:$Y$72,24,FALSE)</f>
        <v>1.9503147525476267E-5</v>
      </c>
      <c r="O49" s="80">
        <f>PS!O$17*VLOOKUP($C49,'portland cement'!$B$6:$Y$72,24,FALSE)</f>
        <v>3.5255219241011082E-5</v>
      </c>
      <c r="P49" s="80" t="e">
        <f>PS!P$17*VLOOKUP($C49,'portland cement'!$B$6:$Y$72,24,FALSE)</f>
        <v>#DIV/0!</v>
      </c>
      <c r="Q49" s="216" t="s">
        <v>1018</v>
      </c>
      <c r="T49" t="s">
        <v>315</v>
      </c>
      <c r="U49">
        <v>2.4904526072837566E-10</v>
      </c>
      <c r="V49">
        <v>2.4927053693957896E-10</v>
      </c>
      <c r="W49">
        <v>2.4981939929451951E-10</v>
      </c>
      <c r="X49">
        <v>2.3453767573079529E-10</v>
      </c>
      <c r="Y49">
        <v>2.3474648574350018E-10</v>
      </c>
      <c r="Z49">
        <v>2.3495386480377575E-10</v>
      </c>
      <c r="AA49">
        <v>2.3495386480377575E-10</v>
      </c>
      <c r="AB49">
        <v>2.3495386480377575E-10</v>
      </c>
      <c r="AC49">
        <v>2.3495386480377575E-10</v>
      </c>
      <c r="AD49">
        <v>2.3495386480377575E-10</v>
      </c>
      <c r="AE49">
        <v>2.189839900724309E-10</v>
      </c>
      <c r="AF49" t="e">
        <v>#N/A</v>
      </c>
    </row>
    <row r="50" spans="1:32" ht="15" customHeight="1" x14ac:dyDescent="0.25">
      <c r="A50">
        <f t="shared" si="0"/>
        <v>47</v>
      </c>
      <c r="B50" t="str">
        <f t="shared" si="13"/>
        <v>electric</v>
      </c>
      <c r="C50" s="218" t="s">
        <v>473</v>
      </c>
      <c r="D50" s="215">
        <f t="shared" si="12"/>
        <v>3.0907122991991762E-2</v>
      </c>
      <c r="E50" s="80">
        <f>PS!E$17*VLOOKUP($C50,'portland cement'!$B$6:$Y$72,24,FALSE)</f>
        <v>3.0907122991991762E-2</v>
      </c>
      <c r="F50" s="80">
        <f>PS!F$17*VLOOKUP($C50,'portland cement'!$B$6:$Y$72,24,FALSE)</f>
        <v>2.6257089239853613E-2</v>
      </c>
      <c r="G50" s="80">
        <f>PS!G$17*VLOOKUP($C50,'portland cement'!$B$6:$Y$72,24,FALSE)</f>
        <v>2.3364841866397437E-2</v>
      </c>
      <c r="H50" s="80">
        <f>PS!H$17*VLOOKUP($C50,'portland cement'!$B$6:$Y$72,24,FALSE)</f>
        <v>1.9849976059294821E-2</v>
      </c>
      <c r="I50" s="80">
        <f>PS!I$17*VLOOKUP($C50,'portland cement'!$B$6:$Y$72,24,FALSE)</f>
        <v>1.6462309882964401E-2</v>
      </c>
      <c r="J50" s="80">
        <f>PS!J$17*VLOOKUP($C50,'portland cement'!$B$6:$Y$72,24,FALSE)</f>
        <v>1.3498341285509401E-2</v>
      </c>
      <c r="K50" s="80">
        <f>PS!K$17*VLOOKUP($C50,'portland cement'!$B$6:$Y$72,24,FALSE)</f>
        <v>1.0834991435453734E-2</v>
      </c>
      <c r="L50" s="80">
        <f>PS!L$17*VLOOKUP($C50,'portland cement'!$B$6:$Y$72,24,FALSE)</f>
        <v>1.0108623294529462E-2</v>
      </c>
      <c r="M50" s="80">
        <f>PS!M$17*VLOOKUP($C50,'portland cement'!$B$6:$Y$72,24,FALSE)</f>
        <v>8.7769483695016286E-3</v>
      </c>
      <c r="N50" s="80">
        <f>PS!N$17*VLOOKUP($C50,'portland cement'!$B$6:$Y$72,24,FALSE)</f>
        <v>6.7794359819598783E-3</v>
      </c>
      <c r="O50" s="80">
        <f>PS!O$17*VLOOKUP($C50,'portland cement'!$B$6:$Y$72,24,FALSE)</f>
        <v>1.2254970720094479E-2</v>
      </c>
      <c r="P50" s="80" t="e">
        <f>PS!P$17*VLOOKUP($C50,'portland cement'!$B$6:$Y$72,24,FALSE)</f>
        <v>#DIV/0!</v>
      </c>
      <c r="Q50" s="216" t="s">
        <v>1019</v>
      </c>
      <c r="T50" t="s">
        <v>774</v>
      </c>
      <c r="U50">
        <v>1.2998179086139705E-12</v>
      </c>
      <c r="V50">
        <v>1.3102546320876951E-12</v>
      </c>
      <c r="W50">
        <v>1.3356826370823389E-12</v>
      </c>
      <c r="X50">
        <v>2.0657780603473455E-12</v>
      </c>
      <c r="Y50">
        <v>2.0754514880122042E-12</v>
      </c>
      <c r="Z50">
        <v>2.0850586247236874E-12</v>
      </c>
      <c r="AA50">
        <v>2.0850586247236874E-12</v>
      </c>
      <c r="AB50">
        <v>2.0850586247236874E-12</v>
      </c>
      <c r="AC50">
        <v>2.0850586247236874E-12</v>
      </c>
      <c r="AD50">
        <v>2.0850586247236874E-12</v>
      </c>
      <c r="AE50">
        <v>3.8099234120732577E-13</v>
      </c>
      <c r="AF50" t="e">
        <v>#N/A</v>
      </c>
    </row>
    <row r="51" spans="1:32" ht="15" customHeight="1" x14ac:dyDescent="0.25">
      <c r="A51">
        <f t="shared" si="0"/>
        <v>48</v>
      </c>
      <c r="B51" t="str">
        <f t="shared" si="13"/>
        <v>Al_to_wat</v>
      </c>
      <c r="C51" s="218" t="s">
        <v>474</v>
      </c>
      <c r="D51" s="215">
        <f t="shared" si="12"/>
        <v>1.8924430229125078E-7</v>
      </c>
      <c r="E51" s="80">
        <f>PS!E$17*VLOOKUP($C51,'portland cement'!$B$6:$Y$72,24,FALSE)</f>
        <v>1.8924430229125078E-7</v>
      </c>
      <c r="F51" s="80">
        <f>PS!F$17*VLOOKUP($C51,'portland cement'!$B$6:$Y$72,24,FALSE)</f>
        <v>1.6077214740054281E-7</v>
      </c>
      <c r="G51" s="80">
        <f>PS!G$17*VLOOKUP($C51,'portland cement'!$B$6:$Y$72,24,FALSE)</f>
        <v>1.4306291783604289E-7</v>
      </c>
      <c r="H51" s="80">
        <f>PS!H$17*VLOOKUP($C51,'portland cement'!$B$6:$Y$72,24,FALSE)</f>
        <v>1.215413958398073E-7</v>
      </c>
      <c r="I51" s="80">
        <f>PS!I$17*VLOOKUP($C51,'portland cement'!$B$6:$Y$72,24,FALSE)</f>
        <v>1.007987171342729E-7</v>
      </c>
      <c r="J51" s="80">
        <f>PS!J$17*VLOOKUP($C51,'portland cement'!$B$6:$Y$72,24,FALSE)</f>
        <v>8.2650338542584356E-8</v>
      </c>
      <c r="K51" s="80">
        <f>PS!K$17*VLOOKUP($C51,'portland cement'!$B$6:$Y$72,24,FALSE)</f>
        <v>6.6342648426558745E-8</v>
      </c>
      <c r="L51" s="80">
        <f>PS!L$17*VLOOKUP($C51,'portland cement'!$B$6:$Y$72,24,FALSE)</f>
        <v>6.189509657673358E-8</v>
      </c>
      <c r="M51" s="80">
        <f>PS!M$17*VLOOKUP($C51,'portland cement'!$B$6:$Y$72,24,FALSE)</f>
        <v>5.3741251518720769E-8</v>
      </c>
      <c r="N51" s="80">
        <f>PS!N$17*VLOOKUP($C51,'portland cement'!$B$6:$Y$72,24,FALSE)</f>
        <v>4.1510483931701558E-8</v>
      </c>
      <c r="O51" s="80">
        <f>PS!O$17*VLOOKUP($C51,'portland cement'!$B$6:$Y$72,24,FALSE)</f>
        <v>7.5037181044800016E-8</v>
      </c>
      <c r="P51" s="80" t="e">
        <f>PS!P$17*VLOOKUP($C51,'portland cement'!$B$6:$Y$72,24,FALSE)</f>
        <v>#DIV/0!</v>
      </c>
      <c r="Q51" s="216" t="s">
        <v>850</v>
      </c>
      <c r="T51" t="s">
        <v>762</v>
      </c>
      <c r="U51">
        <v>4.940670071172883E-3</v>
      </c>
      <c r="V51">
        <v>4.1973371315432223E-3</v>
      </c>
      <c r="W51">
        <v>3.7349958117068264E-3</v>
      </c>
      <c r="X51">
        <v>3.1731255819270952E-3</v>
      </c>
      <c r="Y51">
        <v>2.6315888982035036E-3</v>
      </c>
      <c r="Z51">
        <v>2.1577825544316638E-3</v>
      </c>
      <c r="AA51">
        <v>1.7320317365168961E-3</v>
      </c>
      <c r="AB51">
        <v>1.6159178770855959E-3</v>
      </c>
      <c r="AC51">
        <v>1.4030424681282119E-3</v>
      </c>
      <c r="AD51">
        <v>1.0837293546921362E-3</v>
      </c>
      <c r="AE51">
        <v>1.9590230729517951E-3</v>
      </c>
      <c r="AF51" t="e">
        <v>#DIV/0!</v>
      </c>
    </row>
    <row r="52" spans="1:32" ht="15" customHeight="1" x14ac:dyDescent="0.25">
      <c r="A52">
        <f t="shared" si="0"/>
        <v>49</v>
      </c>
      <c r="B52" t="str">
        <f t="shared" si="13"/>
        <v>Amm_to_wat</v>
      </c>
      <c r="C52" s="218" t="s">
        <v>475</v>
      </c>
      <c r="D52" s="215">
        <f t="shared" si="12"/>
        <v>2.0849831681005046E-7</v>
      </c>
      <c r="E52" s="80">
        <f>PS!E$17*VLOOKUP($C52,'portland cement'!$B$6:$Y$72,24,FALSE)</f>
        <v>2.0849831681005046E-7</v>
      </c>
      <c r="F52" s="80">
        <f>PS!F$17*VLOOKUP($C52,'portland cement'!$B$6:$Y$72,24,FALSE)</f>
        <v>1.7712935986501427E-7</v>
      </c>
      <c r="G52" s="80">
        <f>PS!G$17*VLOOKUP($C52,'portland cement'!$B$6:$Y$72,24,FALSE)</f>
        <v>1.5761836528553981E-7</v>
      </c>
      <c r="H52" s="80">
        <f>PS!H$17*VLOOKUP($C52,'portland cement'!$B$6:$Y$72,24,FALSE)</f>
        <v>1.3390720961492046E-7</v>
      </c>
      <c r="I52" s="80">
        <f>PS!I$17*VLOOKUP($C52,'portland cement'!$B$6:$Y$72,24,FALSE)</f>
        <v>1.1105413798278422E-7</v>
      </c>
      <c r="J52" s="80">
        <f>PS!J$17*VLOOKUP($C52,'portland cement'!$B$6:$Y$72,24,FALSE)</f>
        <v>9.1059314659780772E-8</v>
      </c>
      <c r="K52" s="80">
        <f>PS!K$17*VLOOKUP($C52,'portland cement'!$B$6:$Y$72,24,FALSE)</f>
        <v>7.3092454368164839E-8</v>
      </c>
      <c r="L52" s="80">
        <f>PS!L$17*VLOOKUP($C52,'portland cement'!$B$6:$Y$72,24,FALSE)</f>
        <v>6.8192401561360503E-8</v>
      </c>
      <c r="M52" s="80">
        <f>PS!M$17*VLOOKUP($C52,'portland cement'!$B$6:$Y$72,24,FALSE)</f>
        <v>5.9208971415552523E-8</v>
      </c>
      <c r="N52" s="80">
        <f>PS!N$17*VLOOKUP($C52,'portland cement'!$B$6:$Y$72,24,FALSE)</f>
        <v>4.5733826196840566E-8</v>
      </c>
      <c r="O52" s="80">
        <f>PS!O$17*VLOOKUP($C52,'portland cement'!$B$6:$Y$72,24,FALSE)</f>
        <v>8.2671582481430081E-8</v>
      </c>
      <c r="P52" s="80" t="e">
        <f>PS!P$17*VLOOKUP($C52,'portland cement'!$B$6:$Y$72,24,FALSE)</f>
        <v>#DIV/0!</v>
      </c>
      <c r="Q52" s="216" t="s">
        <v>851</v>
      </c>
      <c r="T52" t="s">
        <v>768</v>
      </c>
      <c r="U52">
        <v>4.8481031784452238E-9</v>
      </c>
      <c r="V52">
        <v>4.1186970988350383E-9</v>
      </c>
      <c r="W52">
        <v>3.6650180654375953E-9</v>
      </c>
      <c r="X52">
        <v>3.1136748655015181E-9</v>
      </c>
      <c r="Y52">
        <v>2.5822842484830918E-9</v>
      </c>
      <c r="Z52">
        <v>2.117354996353844E-9</v>
      </c>
      <c r="AA52">
        <v>1.699580916355776E-9</v>
      </c>
      <c r="AB52">
        <v>1.5856425309017576E-9</v>
      </c>
      <c r="AC52">
        <v>1.3767554909027236E-9</v>
      </c>
      <c r="AD52">
        <v>1.0634249309041726E-9</v>
      </c>
      <c r="AE52">
        <v>1.922319412105669E-9</v>
      </c>
      <c r="AF52" t="e">
        <v>#DIV/0!</v>
      </c>
    </row>
    <row r="53" spans="1:32" ht="15" customHeight="1" x14ac:dyDescent="0.25">
      <c r="A53">
        <f t="shared" si="0"/>
        <v>50</v>
      </c>
      <c r="B53" t="str">
        <f t="shared" si="13"/>
        <v>chlor_wat</v>
      </c>
      <c r="C53" s="218" t="s">
        <v>476</v>
      </c>
      <c r="D53" s="215">
        <f t="shared" si="12"/>
        <v>1.5990313932082064E-4</v>
      </c>
      <c r="E53" s="80">
        <f>PS!E$17*VLOOKUP($C53,'portland cement'!$B$6:$Y$72,24,FALSE)</f>
        <v>1.5990313932082064E-4</v>
      </c>
      <c r="F53" s="80">
        <f>PS!F$17*VLOOKUP($C53,'portland cement'!$B$6:$Y$72,24,FALSE)</f>
        <v>1.3584541660404352E-4</v>
      </c>
      <c r="G53" s="80">
        <f>PS!G$17*VLOOKUP($C53,'portland cement'!$B$6:$Y$72,24,FALSE)</f>
        <v>1.2088189396145167E-4</v>
      </c>
      <c r="H53" s="80">
        <f>PS!H$17*VLOOKUP($C53,'portland cement'!$B$6:$Y$72,24,FALSE)</f>
        <v>1.0269715133779348E-4</v>
      </c>
      <c r="I53" s="80">
        <f>PS!I$17*VLOOKUP($C53,'portland cement'!$B$6:$Y$72,24,FALSE)</f>
        <v>8.5170497151748642E-5</v>
      </c>
      <c r="J53" s="80">
        <f>PS!J$17*VLOOKUP($C53,'portland cement'!$B$6:$Y$72,24,FALSE)</f>
        <v>6.983591283265213E-5</v>
      </c>
      <c r="K53" s="80">
        <f>PS!K$17*VLOOKUP($C53,'portland cement'!$B$6:$Y$72,24,FALSE)</f>
        <v>5.605662958316023E-5</v>
      </c>
      <c r="L53" s="80">
        <f>PS!L$17*VLOOKUP($C53,'portland cement'!$B$6:$Y$72,24,FALSE)</f>
        <v>5.2298643242389718E-5</v>
      </c>
      <c r="M53" s="80">
        <f>PS!M$17*VLOOKUP($C53,'portland cement'!$B$6:$Y$72,24,FALSE)</f>
        <v>4.5409001617643761E-5</v>
      </c>
      <c r="N53" s="80">
        <f>PS!N$17*VLOOKUP($C53,'portland cement'!$B$6:$Y$72,24,FALSE)</f>
        <v>3.5074539180524836E-5</v>
      </c>
      <c r="O53" s="80">
        <f>PS!O$17*VLOOKUP($C53,'portland cement'!$B$6:$Y$72,24,FALSE)</f>
        <v>6.3403128493570645E-5</v>
      </c>
      <c r="P53" s="80" t="e">
        <f>PS!P$17*VLOOKUP($C53,'portland cement'!$B$6:$Y$72,24,FALSE)</f>
        <v>#DIV/0!</v>
      </c>
      <c r="Q53" s="216" t="s">
        <v>852</v>
      </c>
      <c r="T53" t="s">
        <v>246</v>
      </c>
      <c r="U53">
        <v>7.049540137179848E-4</v>
      </c>
      <c r="V53">
        <v>6.1581655921901575E-4</v>
      </c>
      <c r="W53">
        <v>5.6490135934676017E-4</v>
      </c>
      <c r="X53">
        <v>4.980662435934434E-4</v>
      </c>
      <c r="Y53">
        <v>4.3363123332824873E-4</v>
      </c>
      <c r="Z53">
        <v>3.7752959359002689E-4</v>
      </c>
      <c r="AA53">
        <v>3.2504628130394797E-4</v>
      </c>
      <c r="AB53">
        <v>3.1073265068047183E-4</v>
      </c>
      <c r="AC53">
        <v>2.8449099453743232E-4</v>
      </c>
      <c r="AD53">
        <v>2.451285103228731E-4</v>
      </c>
      <c r="AE53">
        <v>3.549484150327786E-4</v>
      </c>
      <c r="AF53" t="e">
        <v>#DIV/0!</v>
      </c>
    </row>
    <row r="54" spans="1:32" ht="15" customHeight="1" x14ac:dyDescent="0.25">
      <c r="A54">
        <f t="shared" si="0"/>
        <v>51</v>
      </c>
      <c r="B54" t="str">
        <f t="shared" si="13"/>
        <v>DOC_to_wat</v>
      </c>
      <c r="C54" s="218" t="s">
        <v>477</v>
      </c>
      <c r="D54" s="215">
        <f t="shared" si="12"/>
        <v>3.0299216715071059E-6</v>
      </c>
      <c r="E54" s="80">
        <f>PS!E$17*VLOOKUP($C54,'portland cement'!$B$6:$Y$72,24,FALSE)</f>
        <v>3.0299216715071059E-6</v>
      </c>
      <c r="F54" s="80">
        <f>PS!F$17*VLOOKUP($C54,'portland cement'!$B$6:$Y$72,24,FALSE)</f>
        <v>2.5740643585345105E-6</v>
      </c>
      <c r="G54" s="80">
        <f>PS!G$17*VLOOKUP($C54,'portland cement'!$B$6:$Y$72,24,FALSE)</f>
        <v>2.2905283271004304E-6</v>
      </c>
      <c r="H54" s="80">
        <f>PS!H$17*VLOOKUP($C54,'portland cement'!$B$6:$Y$72,24,FALSE)</f>
        <v>1.9459550685626181E-6</v>
      </c>
      <c r="I54" s="80">
        <f>PS!I$17*VLOOKUP($C54,'portland cement'!$B$6:$Y$72,24,FALSE)</f>
        <v>1.6138515865868054E-6</v>
      </c>
      <c r="J54" s="80">
        <f>PS!J$17*VLOOKUP($C54,'portland cement'!$B$6:$Y$72,24,FALSE)</f>
        <v>1.3232844998533574E-6</v>
      </c>
      <c r="K54" s="80">
        <f>PS!K$17*VLOOKUP($C54,'portland cement'!$B$6:$Y$72,24,FALSE)</f>
        <v>1.0621880066087487E-6</v>
      </c>
      <c r="L54" s="80">
        <f>PS!L$17*VLOOKUP($C54,'portland cement'!$B$6:$Y$72,24,FALSE)</f>
        <v>9.909798720874919E-7</v>
      </c>
      <c r="M54" s="80">
        <f>PS!M$17*VLOOKUP($C54,'portland cement'!$B$6:$Y$72,24,FALSE)</f>
        <v>8.6043162546518753E-7</v>
      </c>
      <c r="N54" s="80">
        <f>PS!N$17*VLOOKUP($C54,'portland cement'!$B$6:$Y$72,24,FALSE)</f>
        <v>6.6460925553173104E-7</v>
      </c>
      <c r="O54" s="80">
        <f>PS!O$17*VLOOKUP($C54,'portland cement'!$B$6:$Y$72,24,FALSE)</f>
        <v>1.2013930050403056E-6</v>
      </c>
      <c r="P54" s="80" t="e">
        <f>PS!P$17*VLOOKUP($C54,'portland cement'!$B$6:$Y$72,24,FALSE)</f>
        <v>#DIV/0!</v>
      </c>
      <c r="Q54" s="216" t="s">
        <v>853</v>
      </c>
      <c r="T54" t="s">
        <v>752</v>
      </c>
      <c r="U54">
        <v>0</v>
      </c>
      <c r="V54">
        <v>0</v>
      </c>
      <c r="W54">
        <v>0</v>
      </c>
      <c r="X54">
        <v>0</v>
      </c>
      <c r="Y54">
        <v>0</v>
      </c>
      <c r="Z54">
        <v>0</v>
      </c>
      <c r="AA54">
        <v>0</v>
      </c>
      <c r="AB54">
        <v>0</v>
      </c>
      <c r="AC54">
        <v>0</v>
      </c>
      <c r="AD54">
        <v>0</v>
      </c>
      <c r="AE54">
        <v>0</v>
      </c>
      <c r="AF54" t="e">
        <v>#DIV/0!</v>
      </c>
    </row>
    <row r="55" spans="1:32" ht="15" customHeight="1" x14ac:dyDescent="0.25">
      <c r="A55">
        <f t="shared" si="0"/>
        <v>52</v>
      </c>
      <c r="B55" t="str">
        <f t="shared" si="13"/>
        <v>Nit_to_wat</v>
      </c>
      <c r="C55" s="218" t="s">
        <v>478</v>
      </c>
      <c r="D55" s="215">
        <f t="shared" si="12"/>
        <v>1.2958520547731506E-6</v>
      </c>
      <c r="E55" s="80">
        <f>PS!E$17*VLOOKUP($C55,'portland cement'!$B$6:$Y$72,24,FALSE)</f>
        <v>1.2958520547731506E-6</v>
      </c>
      <c r="F55" s="80">
        <f>PS!F$17*VLOOKUP($C55,'portland cement'!$B$6:$Y$72,24,FALSE)</f>
        <v>1.1008887191681498E-6</v>
      </c>
      <c r="G55" s="80">
        <f>PS!G$17*VLOOKUP($C55,'portland cement'!$B$6:$Y$72,24,FALSE)</f>
        <v>9.7962461112494745E-7</v>
      </c>
      <c r="H55" s="80">
        <f>PS!H$17*VLOOKUP($C55,'portland cement'!$B$6:$Y$72,24,FALSE)</f>
        <v>8.322557965133132E-7</v>
      </c>
      <c r="I55" s="80">
        <f>PS!I$17*VLOOKUP($C55,'portland cement'!$B$6:$Y$72,24,FALSE)</f>
        <v>6.9022011830991866E-7</v>
      </c>
      <c r="J55" s="80">
        <f>PS!J$17*VLOOKUP($C55,'portland cement'!$B$6:$Y$72,24,FALSE)</f>
        <v>5.6594893337011221E-7</v>
      </c>
      <c r="K55" s="80">
        <f>PS!K$17*VLOOKUP($C55,'portland cement'!$B$6:$Y$72,24,FALSE)</f>
        <v>4.542818792522425E-7</v>
      </c>
      <c r="L55" s="80">
        <f>PS!L$17*VLOOKUP($C55,'portland cement'!$B$6:$Y$72,24,FALSE)</f>
        <v>4.238272281291872E-7</v>
      </c>
      <c r="M55" s="80">
        <f>PS!M$17*VLOOKUP($C55,'portland cement'!$B$6:$Y$72,24,FALSE)</f>
        <v>3.6799370107025231E-7</v>
      </c>
      <c r="N55" s="80">
        <f>PS!N$17*VLOOKUP($C55,'portland cement'!$B$6:$Y$72,24,FALSE)</f>
        <v>2.8424341048185004E-7</v>
      </c>
      <c r="O55" s="80">
        <f>PS!O$17*VLOOKUP($C55,'portland cement'!$B$6:$Y$72,24,FALSE)</f>
        <v>5.1381776922213051E-7</v>
      </c>
      <c r="P55" s="80" t="e">
        <f>PS!P$17*VLOOKUP($C55,'portland cement'!$B$6:$Y$72,24,FALSE)</f>
        <v>#DIV/0!</v>
      </c>
      <c r="Q55" s="216" t="s">
        <v>854</v>
      </c>
      <c r="T55" t="s">
        <v>775</v>
      </c>
      <c r="U55">
        <v>8.0465275811290009E-5</v>
      </c>
      <c r="V55">
        <v>7.877079629050358E-5</v>
      </c>
      <c r="W55">
        <v>7.969056970855227E-5</v>
      </c>
      <c r="X55">
        <v>8.0331806112131379E-5</v>
      </c>
      <c r="Y55">
        <v>7.931310698736438E-5</v>
      </c>
      <c r="Z55">
        <v>7.8541011318080539E-5</v>
      </c>
      <c r="AA55">
        <v>7.6947436802364631E-5</v>
      </c>
      <c r="AB55">
        <v>7.6512825570805744E-5</v>
      </c>
      <c r="AC55">
        <v>7.571603831294779E-5</v>
      </c>
      <c r="AD55">
        <v>7.4520857426160859E-5</v>
      </c>
      <c r="AE55">
        <v>8.0325425346402022E-5</v>
      </c>
      <c r="AF55" t="e">
        <v>#DIV/0!</v>
      </c>
    </row>
    <row r="56" spans="1:32" ht="15" customHeight="1" x14ac:dyDescent="0.25">
      <c r="A56">
        <f t="shared" si="0"/>
        <v>53</v>
      </c>
      <c r="B56" t="str">
        <f t="shared" si="13"/>
        <v>oil_to_wat</v>
      </c>
      <c r="C56" s="218" t="s">
        <v>479</v>
      </c>
      <c r="D56" s="215">
        <f t="shared" si="12"/>
        <v>1.6540027468787765E-6</v>
      </c>
      <c r="E56" s="80">
        <f>PS!E$17*VLOOKUP($C56,'portland cement'!$B$6:$Y$72,24,FALSE)</f>
        <v>1.6540027468787765E-6</v>
      </c>
      <c r="F56" s="80">
        <f>PS!F$17*VLOOKUP($C56,'portland cement'!$B$6:$Y$72,24,FALSE)</f>
        <v>1.4051549779968798E-6</v>
      </c>
      <c r="G56" s="80">
        <f>PS!G$17*VLOOKUP($C56,'portland cement'!$B$6:$Y$72,24,FALSE)</f>
        <v>1.2503756055658403E-6</v>
      </c>
      <c r="H56" s="80">
        <f>PS!H$17*VLOOKUP($C56,'portland cement'!$B$6:$Y$72,24,FALSE)</f>
        <v>1.0622766452917197E-6</v>
      </c>
      <c r="I56" s="80">
        <f>PS!I$17*VLOOKUP($C56,'portland cement'!$B$6:$Y$72,24,FALSE)</f>
        <v>8.8098480642950442E-7</v>
      </c>
      <c r="J56" s="80">
        <f>PS!J$17*VLOOKUP($C56,'portland cement'!$B$6:$Y$72,24,FALSE)</f>
        <v>7.2236725399270045E-7</v>
      </c>
      <c r="K56" s="80">
        <f>PS!K$17*VLOOKUP($C56,'portland cement'!$B$6:$Y$72,24,FALSE)</f>
        <v>5.7983739221835604E-7</v>
      </c>
      <c r="L56" s="80">
        <f>PS!L$17*VLOOKUP($C56,'portland cement'!$B$6:$Y$72,24,FALSE)</f>
        <v>5.4096561173444392E-7</v>
      </c>
      <c r="M56" s="80">
        <f>PS!M$17*VLOOKUP($C56,'portland cement'!$B$6:$Y$72,24,FALSE)</f>
        <v>4.6970068084727161E-7</v>
      </c>
      <c r="N56" s="80">
        <f>PS!N$17*VLOOKUP($C56,'portland cement'!$B$6:$Y$72,24,FALSE)</f>
        <v>3.6280328451651322E-7</v>
      </c>
      <c r="O56" s="80">
        <f>PS!O$17*VLOOKUP($C56,'portland cement'!$B$6:$Y$72,24,FALSE)</f>
        <v>6.5582795393823214E-7</v>
      </c>
      <c r="P56" s="80" t="e">
        <f>PS!P$17*VLOOKUP($C56,'portland cement'!$B$6:$Y$72,24,FALSE)</f>
        <v>#DIV/0!</v>
      </c>
      <c r="Q56" s="216" t="s">
        <v>855</v>
      </c>
      <c r="T56" t="s">
        <v>319</v>
      </c>
      <c r="U56">
        <v>1.3076256696834184E-5</v>
      </c>
      <c r="V56">
        <v>1.3132323471956237E-5</v>
      </c>
      <c r="W56">
        <v>1.3268924412033495E-5</v>
      </c>
      <c r="X56">
        <v>1.1276991753582088E-5</v>
      </c>
      <c r="Y56">
        <v>1.1328958884337077E-5</v>
      </c>
      <c r="Z56">
        <v>1.1380569889966485E-5</v>
      </c>
      <c r="AA56">
        <v>1.1380569889966485E-5</v>
      </c>
      <c r="AB56">
        <v>1.1380569889966485E-5</v>
      </c>
      <c r="AC56">
        <v>1.1380569889966485E-5</v>
      </c>
      <c r="AD56">
        <v>1.1380569889966485E-5</v>
      </c>
      <c r="AE56">
        <v>5.4882413577126692E-6</v>
      </c>
      <c r="AF56" t="e">
        <v>#N/A</v>
      </c>
    </row>
    <row r="57" spans="1:32" ht="15" customHeight="1" x14ac:dyDescent="0.25">
      <c r="A57">
        <f t="shared" si="0"/>
        <v>54</v>
      </c>
      <c r="B57" t="str">
        <f t="shared" si="13"/>
        <v>phen_wat</v>
      </c>
      <c r="C57" s="218" t="s">
        <v>480</v>
      </c>
      <c r="D57" s="215">
        <f t="shared" ref="D57:D88" si="14">HLOOKUP($D$4,$E$4:$P$221,A57,FALSE)</f>
        <v>4.8481031784452238E-9</v>
      </c>
      <c r="E57" s="80">
        <f>PS!E$17*VLOOKUP($C57,'portland cement'!$B$6:$Y$72,24,FALSE)</f>
        <v>4.8481031784452238E-9</v>
      </c>
      <c r="F57" s="80">
        <f>PS!F$17*VLOOKUP($C57,'portland cement'!$B$6:$Y$72,24,FALSE)</f>
        <v>4.1186970988350383E-9</v>
      </c>
      <c r="G57" s="80">
        <f>PS!G$17*VLOOKUP($C57,'portland cement'!$B$6:$Y$72,24,FALSE)</f>
        <v>3.6650180654375953E-9</v>
      </c>
      <c r="H57" s="80">
        <f>PS!H$17*VLOOKUP($C57,'portland cement'!$B$6:$Y$72,24,FALSE)</f>
        <v>3.1136748655015181E-9</v>
      </c>
      <c r="I57" s="80">
        <f>PS!I$17*VLOOKUP($C57,'portland cement'!$B$6:$Y$72,24,FALSE)</f>
        <v>2.5822842484830918E-9</v>
      </c>
      <c r="J57" s="80">
        <f>PS!J$17*VLOOKUP($C57,'portland cement'!$B$6:$Y$72,24,FALSE)</f>
        <v>2.117354996353844E-9</v>
      </c>
      <c r="K57" s="80">
        <f>PS!K$17*VLOOKUP($C57,'portland cement'!$B$6:$Y$72,24,FALSE)</f>
        <v>1.699580916355776E-9</v>
      </c>
      <c r="L57" s="80">
        <f>PS!L$17*VLOOKUP($C57,'portland cement'!$B$6:$Y$72,24,FALSE)</f>
        <v>1.5856425309017576E-9</v>
      </c>
      <c r="M57" s="80">
        <f>PS!M$17*VLOOKUP($C57,'portland cement'!$B$6:$Y$72,24,FALSE)</f>
        <v>1.3767554909027236E-9</v>
      </c>
      <c r="N57" s="80">
        <f>PS!N$17*VLOOKUP($C57,'portland cement'!$B$6:$Y$72,24,FALSE)</f>
        <v>1.0634249309041726E-9</v>
      </c>
      <c r="O57" s="80">
        <f>PS!O$17*VLOOKUP($C57,'portland cement'!$B$6:$Y$72,24,FALSE)</f>
        <v>1.922319412105669E-9</v>
      </c>
      <c r="P57" s="80" t="e">
        <f>PS!P$17*VLOOKUP($C57,'portland cement'!$B$6:$Y$72,24,FALSE)</f>
        <v>#DIV/0!</v>
      </c>
      <c r="Q57" s="216" t="s">
        <v>856</v>
      </c>
      <c r="T57" t="s">
        <v>770</v>
      </c>
      <c r="U57">
        <v>1.3533759689317616E-4</v>
      </c>
      <c r="V57">
        <v>1.1497580541715948E-4</v>
      </c>
      <c r="W57">
        <v>1.0231109349151111E-4</v>
      </c>
      <c r="X57">
        <v>8.692003001858556E-5</v>
      </c>
      <c r="Y57">
        <v>7.2085954407612347E-5</v>
      </c>
      <c r="Z57">
        <v>5.910718613628751E-5</v>
      </c>
      <c r="AA57">
        <v>4.7444781696840648E-5</v>
      </c>
      <c r="AB57">
        <v>4.4264125940627869E-5</v>
      </c>
      <c r="AC57">
        <v>3.8432923720904434E-5</v>
      </c>
      <c r="AD57">
        <v>2.9686120391319286E-5</v>
      </c>
      <c r="AE57">
        <v>5.3662655294171717E-5</v>
      </c>
      <c r="AF57" t="e">
        <v>#DIV/0!</v>
      </c>
    </row>
    <row r="58" spans="1:32" ht="15" customHeight="1" x14ac:dyDescent="0.25">
      <c r="A58">
        <f t="shared" si="0"/>
        <v>55</v>
      </c>
      <c r="B58" t="str">
        <f t="shared" si="13"/>
        <v>P_to_wat</v>
      </c>
      <c r="C58" s="218" t="s">
        <v>481</v>
      </c>
      <c r="D58" s="215">
        <f t="shared" si="14"/>
        <v>1.2121490214572046E-9</v>
      </c>
      <c r="E58" s="80">
        <f>PS!E$17*VLOOKUP($C58,'portland cement'!$B$6:$Y$72,24,FALSE)</f>
        <v>1.2121490214572046E-9</v>
      </c>
      <c r="F58" s="80">
        <f>PS!F$17*VLOOKUP($C58,'portland cement'!$B$6:$Y$72,24,FALSE)</f>
        <v>1.0297789618480427E-9</v>
      </c>
      <c r="G58" s="80">
        <f>PS!G$17*VLOOKUP($C58,'portland cement'!$B$6:$Y$72,24,FALSE)</f>
        <v>9.1634767209469191E-10</v>
      </c>
      <c r="H58" s="80">
        <f>PS!H$17*VLOOKUP($C58,'portland cement'!$B$6:$Y$72,24,FALSE)</f>
        <v>7.7849785832403595E-10</v>
      </c>
      <c r="I58" s="80">
        <f>PS!I$17*VLOOKUP($C58,'portland cement'!$B$6:$Y$72,24,FALSE)</f>
        <v>6.4563669742832343E-10</v>
      </c>
      <c r="J58" s="80">
        <f>PS!J$17*VLOOKUP($C58,'portland cement'!$B$6:$Y$72,24,FALSE)</f>
        <v>5.2939256703916143E-10</v>
      </c>
      <c r="K58" s="80">
        <f>PS!K$17*VLOOKUP($C58,'portland cement'!$B$6:$Y$72,24,FALSE)</f>
        <v>4.2493842825116546E-10</v>
      </c>
      <c r="L58" s="80">
        <f>PS!L$17*VLOOKUP($C58,'portland cement'!$B$6:$Y$72,24,FALSE)</f>
        <v>3.964509358544393E-10</v>
      </c>
      <c r="M58" s="80">
        <f>PS!M$17*VLOOKUP($C58,'portland cement'!$B$6:$Y$72,24,FALSE)</f>
        <v>3.4422386646044127E-10</v>
      </c>
      <c r="N58" s="80">
        <f>PS!N$17*VLOOKUP($C58,'portland cement'!$B$6:$Y$72,24,FALSE)</f>
        <v>2.658832623694443E-10</v>
      </c>
      <c r="O58" s="80">
        <f>PS!O$17*VLOOKUP($C58,'portland cement'!$B$6:$Y$72,24,FALSE)</f>
        <v>4.8062871365277857E-10</v>
      </c>
      <c r="P58" s="80" t="e">
        <f>PS!P$17*VLOOKUP($C58,'portland cement'!$B$6:$Y$72,24,FALSE)</f>
        <v>#DIV/0!</v>
      </c>
      <c r="Q58" s="216" t="s">
        <v>857</v>
      </c>
      <c r="T58" t="s">
        <v>771</v>
      </c>
      <c r="U58">
        <v>1.4545903439552623E-8</v>
      </c>
      <c r="V58">
        <v>1.2357445394888039E-8</v>
      </c>
      <c r="W58">
        <v>1.0996259139263603E-8</v>
      </c>
      <c r="X58">
        <v>9.3420482751094992E-9</v>
      </c>
      <c r="Y58">
        <v>7.7477017194916014E-9</v>
      </c>
      <c r="Z58">
        <v>6.3527611089528064E-9</v>
      </c>
      <c r="AA58">
        <v>5.0993015179486654E-9</v>
      </c>
      <c r="AB58">
        <v>4.7574489022202636E-9</v>
      </c>
      <c r="AC58">
        <v>4.1307191067181927E-9</v>
      </c>
      <c r="AD58">
        <v>3.1906244134650868E-9</v>
      </c>
      <c r="AE58">
        <v>5.7675902346273777E-9</v>
      </c>
      <c r="AF58" t="e">
        <v>#DIV/0!</v>
      </c>
    </row>
    <row r="59" spans="1:32" ht="15" customHeight="1" x14ac:dyDescent="0.25">
      <c r="A59">
        <f t="shared" si="0"/>
        <v>56</v>
      </c>
      <c r="B59" t="str">
        <f t="shared" si="13"/>
        <v>S_ate_wat</v>
      </c>
      <c r="C59" s="218" t="s">
        <v>482</v>
      </c>
      <c r="D59" s="215">
        <f t="shared" si="14"/>
        <v>1.3533759689317616E-4</v>
      </c>
      <c r="E59" s="80">
        <f>PS!E$17*VLOOKUP($C59,'portland cement'!$B$6:$Y$72,24,FALSE)</f>
        <v>1.3533759689317616E-4</v>
      </c>
      <c r="F59" s="80">
        <f>PS!F$17*VLOOKUP($C59,'portland cement'!$B$6:$Y$72,24,FALSE)</f>
        <v>1.1497580541715948E-4</v>
      </c>
      <c r="G59" s="80">
        <f>PS!G$17*VLOOKUP($C59,'portland cement'!$B$6:$Y$72,24,FALSE)</f>
        <v>1.0231109349151111E-4</v>
      </c>
      <c r="H59" s="80">
        <f>PS!H$17*VLOOKUP($C59,'portland cement'!$B$6:$Y$72,24,FALSE)</f>
        <v>8.692003001858556E-5</v>
      </c>
      <c r="I59" s="80">
        <f>PS!I$17*VLOOKUP($C59,'portland cement'!$B$6:$Y$72,24,FALSE)</f>
        <v>7.2085954407612347E-5</v>
      </c>
      <c r="J59" s="80">
        <f>PS!J$17*VLOOKUP($C59,'portland cement'!$B$6:$Y$72,24,FALSE)</f>
        <v>5.910718613628751E-5</v>
      </c>
      <c r="K59" s="80">
        <f>PS!K$17*VLOOKUP($C59,'portland cement'!$B$6:$Y$72,24,FALSE)</f>
        <v>4.7444781696840648E-5</v>
      </c>
      <c r="L59" s="80">
        <f>PS!L$17*VLOOKUP($C59,'portland cement'!$B$6:$Y$72,24,FALSE)</f>
        <v>4.4264125940627869E-5</v>
      </c>
      <c r="M59" s="80">
        <f>PS!M$17*VLOOKUP($C59,'portland cement'!$B$6:$Y$72,24,FALSE)</f>
        <v>3.8432923720904434E-5</v>
      </c>
      <c r="N59" s="80">
        <f>PS!N$17*VLOOKUP($C59,'portland cement'!$B$6:$Y$72,24,FALSE)</f>
        <v>2.9686120391319286E-5</v>
      </c>
      <c r="O59" s="80">
        <f>PS!O$17*VLOOKUP($C59,'portland cement'!$B$6:$Y$72,24,FALSE)</f>
        <v>5.3662655294171717E-5</v>
      </c>
      <c r="P59" s="80" t="e">
        <f>PS!P$17*VLOOKUP($C59,'portland cement'!$B$6:$Y$72,24,FALSE)</f>
        <v>#DIV/0!</v>
      </c>
      <c r="Q59" s="216" t="s">
        <v>858</v>
      </c>
      <c r="T59" t="s">
        <v>757</v>
      </c>
      <c r="U59">
        <v>8.8226937994057234E-3</v>
      </c>
      <c r="V59">
        <v>7.4953032181909454E-3</v>
      </c>
      <c r="W59">
        <v>6.6696872922197377E-3</v>
      </c>
      <c r="X59">
        <v>5.6663397865297869E-3</v>
      </c>
      <c r="Y59">
        <v>4.6993024671354465E-3</v>
      </c>
      <c r="Z59">
        <v>3.8532131247797966E-3</v>
      </c>
      <c r="AA59">
        <v>3.092937889397236E-3</v>
      </c>
      <c r="AB59">
        <v>2.8855900979292649E-3</v>
      </c>
      <c r="AC59">
        <v>2.5054524802379844E-3</v>
      </c>
      <c r="AD59">
        <v>1.9352460537010638E-3</v>
      </c>
      <c r="AE59">
        <v>3.498282716644035E-3</v>
      </c>
      <c r="AF59" t="e">
        <v>#DIV/0!</v>
      </c>
    </row>
    <row r="60" spans="1:32" ht="15" customHeight="1" x14ac:dyDescent="0.25">
      <c r="A60">
        <f t="shared" si="0"/>
        <v>57</v>
      </c>
      <c r="B60" t="str">
        <f t="shared" si="13"/>
        <v>S_ide_wat</v>
      </c>
      <c r="C60" s="218" t="s">
        <v>483</v>
      </c>
      <c r="D60" s="215">
        <f t="shared" si="14"/>
        <v>1.4545903439552623E-8</v>
      </c>
      <c r="E60" s="80">
        <f>PS!E$17*VLOOKUP($C60,'portland cement'!$B$6:$Y$72,24,FALSE)</f>
        <v>1.4545903439552623E-8</v>
      </c>
      <c r="F60" s="80">
        <f>PS!F$17*VLOOKUP($C60,'portland cement'!$B$6:$Y$72,24,FALSE)</f>
        <v>1.2357445394888039E-8</v>
      </c>
      <c r="G60" s="80">
        <f>PS!G$17*VLOOKUP($C60,'portland cement'!$B$6:$Y$72,24,FALSE)</f>
        <v>1.0996259139263603E-8</v>
      </c>
      <c r="H60" s="80">
        <f>PS!H$17*VLOOKUP($C60,'portland cement'!$B$6:$Y$72,24,FALSE)</f>
        <v>9.3420482751094992E-9</v>
      </c>
      <c r="I60" s="80">
        <f>PS!I$17*VLOOKUP($C60,'portland cement'!$B$6:$Y$72,24,FALSE)</f>
        <v>7.7477017194916014E-9</v>
      </c>
      <c r="J60" s="80">
        <f>PS!J$17*VLOOKUP($C60,'portland cement'!$B$6:$Y$72,24,FALSE)</f>
        <v>6.3527611089528064E-9</v>
      </c>
      <c r="K60" s="80">
        <f>PS!K$17*VLOOKUP($C60,'portland cement'!$B$6:$Y$72,24,FALSE)</f>
        <v>5.0993015179486654E-9</v>
      </c>
      <c r="L60" s="80">
        <f>PS!L$17*VLOOKUP($C60,'portland cement'!$B$6:$Y$72,24,FALSE)</f>
        <v>4.7574489022202636E-9</v>
      </c>
      <c r="M60" s="80">
        <f>PS!M$17*VLOOKUP($C60,'portland cement'!$B$6:$Y$72,24,FALSE)</f>
        <v>4.1307191067181927E-9</v>
      </c>
      <c r="N60" s="80">
        <f>PS!N$17*VLOOKUP($C60,'portland cement'!$B$6:$Y$72,24,FALSE)</f>
        <v>3.1906244134650868E-9</v>
      </c>
      <c r="O60" s="80">
        <f>PS!O$17*VLOOKUP($C60,'portland cement'!$B$6:$Y$72,24,FALSE)</f>
        <v>5.7675902346273777E-9</v>
      </c>
      <c r="P60" s="80" t="e">
        <f>PS!P$17*VLOOKUP($C60,'portland cement'!$B$6:$Y$72,24,FALSE)</f>
        <v>#DIV/0!</v>
      </c>
      <c r="Q60" s="216" t="s">
        <v>859</v>
      </c>
      <c r="T60" t="s">
        <v>320</v>
      </c>
      <c r="U60">
        <v>4.4851897718485398E-11</v>
      </c>
      <c r="V60">
        <v>4.4953709587614566E-11</v>
      </c>
      <c r="W60">
        <v>4.5201763751667908E-11</v>
      </c>
      <c r="X60">
        <v>6.3835282149293602E-11</v>
      </c>
      <c r="Y60">
        <v>6.3929648792170719E-11</v>
      </c>
      <c r="Z60">
        <v>6.4023368750652209E-11</v>
      </c>
      <c r="AA60">
        <v>6.4023368750652209E-11</v>
      </c>
      <c r="AB60">
        <v>6.4023368750652209E-11</v>
      </c>
      <c r="AC60">
        <v>6.4023368750652209E-11</v>
      </c>
      <c r="AD60">
        <v>6.4023368750652209E-11</v>
      </c>
      <c r="AE60">
        <v>1.7822273941932503E-11</v>
      </c>
      <c r="AF60" t="e">
        <v>#N/A</v>
      </c>
    </row>
    <row r="61" spans="1:32" ht="15" customHeight="1" x14ac:dyDescent="0.25">
      <c r="A61">
        <f t="shared" si="0"/>
        <v>58</v>
      </c>
      <c r="B61" t="str">
        <f t="shared" si="13"/>
        <v>SS_to_wat</v>
      </c>
      <c r="C61" s="218" t="s">
        <v>484</v>
      </c>
      <c r="D61" s="215">
        <f t="shared" si="14"/>
        <v>5.1505253623200148E-5</v>
      </c>
      <c r="E61" s="80">
        <f>PS!E$17*VLOOKUP($C61,'portland cement'!$B$6:$Y$72,24,FALSE)</f>
        <v>5.1505253623200148E-5</v>
      </c>
      <c r="F61" s="80">
        <f>PS!F$17*VLOOKUP($C61,'portland cement'!$B$6:$Y$72,24,FALSE)</f>
        <v>4.3756193064494221E-5</v>
      </c>
      <c r="G61" s="80">
        <f>PS!G$17*VLOOKUP($C61,'portland cement'!$B$6:$Y$72,24,FALSE)</f>
        <v>3.8936400081838001E-5</v>
      </c>
      <c r="H61" s="80">
        <f>PS!H$17*VLOOKUP($C61,'portland cement'!$B$6:$Y$72,24,FALSE)</f>
        <v>3.3079043028797457E-5</v>
      </c>
      <c r="I61" s="80">
        <f>PS!I$17*VLOOKUP($C61,'portland cement'!$B$6:$Y$72,24,FALSE)</f>
        <v>2.7433658123581768E-5</v>
      </c>
      <c r="J61" s="80">
        <f>PS!J$17*VLOOKUP($C61,'portland cement'!$B$6:$Y$72,24,FALSE)</f>
        <v>2.2494345124999673E-5</v>
      </c>
      <c r="K61" s="80">
        <f>PS!K$17*VLOOKUP($C61,'portland cement'!$B$6:$Y$72,24,FALSE)</f>
        <v>1.8055999001681352E-5</v>
      </c>
      <c r="L61" s="80">
        <f>PS!L$17*VLOOKUP($C61,'portland cement'!$B$6:$Y$72,24,FALSE)</f>
        <v>1.6845540968049082E-5</v>
      </c>
      <c r="M61" s="80">
        <f>PS!M$17*VLOOKUP($C61,'portland cement'!$B$6:$Y$72,24,FALSE)</f>
        <v>1.4626367906389922E-5</v>
      </c>
      <c r="N61" s="80">
        <f>PS!N$17*VLOOKUP($C61,'portland cement'!$B$6:$Y$72,24,FALSE)</f>
        <v>1.1297608313901181E-5</v>
      </c>
      <c r="O61" s="80">
        <f>PS!O$17*VLOOKUP($C61,'portland cement'!$B$6:$Y$72,24,FALSE)</f>
        <v>2.042232708773653E-5</v>
      </c>
      <c r="P61" s="80" t="e">
        <f>PS!P$17*VLOOKUP($C61,'portland cement'!$B$6:$Y$72,24,FALSE)</f>
        <v>#DIV/0!</v>
      </c>
      <c r="Q61" s="216" t="s">
        <v>860</v>
      </c>
      <c r="T61" t="s">
        <v>754</v>
      </c>
      <c r="U61">
        <v>1.105799140960124E-2</v>
      </c>
      <c r="V61">
        <v>9.3942961734311582E-3</v>
      </c>
      <c r="W61">
        <v>8.3595040765282215E-3</v>
      </c>
      <c r="X61">
        <v>7.1019507315949956E-3</v>
      </c>
      <c r="Y61">
        <v>5.8899070390725687E-3</v>
      </c>
      <c r="Z61">
        <v>4.8294544276315894E-3</v>
      </c>
      <c r="AA61">
        <v>3.876557589892621E-3</v>
      </c>
      <c r="AB61">
        <v>3.6166766341456298E-3</v>
      </c>
      <c r="AC61">
        <v>3.1402282152761456E-3</v>
      </c>
      <c r="AD61">
        <v>2.4255555869719192E-3</v>
      </c>
      <c r="AE61">
        <v>4.3845996595293707E-3</v>
      </c>
      <c r="AF61" t="e">
        <v>#DIV/0!</v>
      </c>
    </row>
    <row r="62" spans="1:32" ht="15" customHeight="1" x14ac:dyDescent="0.25">
      <c r="A62">
        <f t="shared" si="0"/>
        <v>59</v>
      </c>
      <c r="B62" t="str">
        <f t="shared" si="13"/>
        <v>water_out</v>
      </c>
      <c r="C62" s="218" t="s">
        <v>485</v>
      </c>
      <c r="D62" s="215">
        <f t="shared" si="14"/>
        <v>0.80616430319701204</v>
      </c>
      <c r="E62" s="80">
        <f>PS!E$17*VLOOKUP($C62,'portland cement'!$B$6:$Y$72,24,FALSE)</f>
        <v>0.80616430319701204</v>
      </c>
      <c r="F62" s="80">
        <f>PS!F$17*VLOOKUP($C62,'portland cement'!$B$6:$Y$72,24,FALSE)</f>
        <v>0.68487539446855006</v>
      </c>
      <c r="G62" s="80">
        <f>PS!G$17*VLOOKUP($C62,'portland cement'!$B$6:$Y$72,24,FALSE)</f>
        <v>0.60943561351256059</v>
      </c>
      <c r="H62" s="80">
        <f>PS!H$17*VLOOKUP($C62,'portland cement'!$B$6:$Y$72,24,FALSE)</f>
        <v>0.51775579766725921</v>
      </c>
      <c r="I62" s="80">
        <f>PS!I$17*VLOOKUP($C62,'portland cement'!$B$6:$Y$72,24,FALSE)</f>
        <v>0.42939378664432687</v>
      </c>
      <c r="J62" s="80">
        <f>PS!J$17*VLOOKUP($C62,'portland cement'!$B$6:$Y$72,24,FALSE)</f>
        <v>0.35208326894637565</v>
      </c>
      <c r="K62" s="80">
        <f>PS!K$17*VLOOKUP($C62,'portland cement'!$B$6:$Y$72,24,FALSE)</f>
        <v>0.28261392440090244</v>
      </c>
      <c r="L62" s="80">
        <f>PS!L$17*VLOOKUP($C62,'portland cement'!$B$6:$Y$72,24,FALSE)</f>
        <v>0.26366773952486428</v>
      </c>
      <c r="M62" s="80">
        <f>PS!M$17*VLOOKUP($C62,'portland cement'!$B$6:$Y$72,24,FALSE)</f>
        <v>0.22893306725212767</v>
      </c>
      <c r="N62" s="80">
        <f>PS!N$17*VLOOKUP($C62,'portland cement'!$B$6:$Y$72,24,FALSE)</f>
        <v>0.17683105884302275</v>
      </c>
      <c r="O62" s="80">
        <f>PS!O$17*VLOOKUP($C62,'portland cement'!$B$6:$Y$72,24,FALSE)</f>
        <v>0.31965187875379403</v>
      </c>
      <c r="P62" s="80" t="e">
        <f>PS!P$17*VLOOKUP($C62,'portland cement'!$B$6:$Y$72,24,FALSE)</f>
        <v>#DIV/0!</v>
      </c>
      <c r="Q62" s="216" t="s">
        <v>861</v>
      </c>
      <c r="T62" t="s">
        <v>453</v>
      </c>
      <c r="U62">
        <v>4.5326481049770889E-3</v>
      </c>
      <c r="V62">
        <v>3.8507028239436625E-3</v>
      </c>
      <c r="W62">
        <v>3.4265436558509918E-3</v>
      </c>
      <c r="X62">
        <v>2.9110751069362176E-3</v>
      </c>
      <c r="Y62">
        <v>2.4142608716410828E-3</v>
      </c>
      <c r="Z62">
        <v>1.9795835110227233E-3</v>
      </c>
      <c r="AA62">
        <v>1.5889930424801231E-3</v>
      </c>
      <c r="AB62">
        <v>1.4824683692412322E-3</v>
      </c>
      <c r="AC62">
        <v>3.4907862790142345E-2</v>
      </c>
      <c r="AD62">
        <v>4.9270092352528501E-2</v>
      </c>
      <c r="AE62">
        <v>1.7972384497055472E-3</v>
      </c>
      <c r="AF62" t="e">
        <v>#DIV/0!</v>
      </c>
    </row>
    <row r="63" spans="1:32" ht="15" customHeight="1" x14ac:dyDescent="0.25">
      <c r="A63">
        <f t="shared" si="0"/>
        <v>60</v>
      </c>
      <c r="B63" t="str">
        <f t="shared" si="13"/>
        <v>Zn_to_wat</v>
      </c>
      <c r="C63" s="218" t="s">
        <v>486</v>
      </c>
      <c r="D63" s="215">
        <f t="shared" si="14"/>
        <v>7.2775810388201812E-9</v>
      </c>
      <c r="E63" s="80">
        <f>PS!E$17*VLOOKUP($C63,'portland cement'!$B$6:$Y$72,24,FALSE)</f>
        <v>7.2775810388201812E-9</v>
      </c>
      <c r="F63" s="80">
        <f>PS!F$17*VLOOKUP($C63,'portland cement'!$B$6:$Y$72,24,FALSE)</f>
        <v>6.1826555268855082E-9</v>
      </c>
      <c r="G63" s="80">
        <f>PS!G$17*VLOOKUP($C63,'portland cement'!$B$6:$Y$72,24,FALSE)</f>
        <v>5.5016291935675891E-9</v>
      </c>
      <c r="H63" s="80">
        <f>PS!H$17*VLOOKUP($C63,'portland cement'!$B$6:$Y$72,24,FALSE)</f>
        <v>4.6739972991853373E-9</v>
      </c>
      <c r="I63" s="80">
        <f>PS!I$17*VLOOKUP($C63,'portland cement'!$B$6:$Y$72,24,FALSE)</f>
        <v>3.87631661123833E-9</v>
      </c>
      <c r="J63" s="80">
        <f>PS!J$17*VLOOKUP($C63,'portland cement'!$B$6:$Y$72,24,FALSE)</f>
        <v>3.1784023579418972E-9</v>
      </c>
      <c r="K63" s="80">
        <f>PS!K$17*VLOOKUP($C63,'portland cement'!$B$6:$Y$72,24,FALSE)</f>
        <v>2.55127364157668E-9</v>
      </c>
      <c r="L63" s="80">
        <f>PS!L$17*VLOOKUP($C63,'portland cement'!$B$6:$Y$72,24,FALSE)</f>
        <v>2.3802385371134388E-9</v>
      </c>
      <c r="M63" s="80">
        <f>PS!M$17*VLOOKUP($C63,'portland cement'!$B$6:$Y$72,24,FALSE)</f>
        <v>2.06667417893083E-9</v>
      </c>
      <c r="N63" s="80">
        <f>PS!N$17*VLOOKUP($C63,'portland cement'!$B$6:$Y$72,24,FALSE)</f>
        <v>1.596327641656917E-9</v>
      </c>
      <c r="O63" s="80">
        <f>PS!O$17*VLOOKUP($C63,'portland cement'!$B$6:$Y$72,24,FALSE)</f>
        <v>2.8856306867179095E-9</v>
      </c>
      <c r="P63" s="80" t="e">
        <f>PS!P$17*VLOOKUP($C63,'portland cement'!$B$6:$Y$72,24,FALSE)</f>
        <v>#DIV/0!</v>
      </c>
      <c r="Q63" s="216" t="s">
        <v>862</v>
      </c>
      <c r="T63" t="s">
        <v>759</v>
      </c>
      <c r="U63">
        <v>2.2480005503104544E-4</v>
      </c>
      <c r="V63">
        <v>1.9097847145473759E-4</v>
      </c>
      <c r="W63">
        <v>1.6994198194114523E-4</v>
      </c>
      <c r="X63">
        <v>1.4437693575201468E-4</v>
      </c>
      <c r="Y63">
        <v>1.1973706412555458E-4</v>
      </c>
      <c r="Z63">
        <v>9.8178917028174568E-5</v>
      </c>
      <c r="AA63">
        <v>7.8807292143691704E-5</v>
      </c>
      <c r="AB63">
        <v>7.3524121720650916E-5</v>
      </c>
      <c r="AC63">
        <v>6.3838309278409477E-5</v>
      </c>
      <c r="AD63">
        <v>4.9309590615047319E-5</v>
      </c>
      <c r="AE63">
        <v>8.9135378048448794E-5</v>
      </c>
      <c r="AF63" t="e">
        <v>#DIV/0!</v>
      </c>
    </row>
    <row r="64" spans="1:32" ht="15" customHeight="1" x14ac:dyDescent="0.25">
      <c r="A64">
        <f t="shared" si="0"/>
        <v>61</v>
      </c>
      <c r="B64" t="str">
        <f t="shared" si="13"/>
        <v>NH3_to_air</v>
      </c>
      <c r="C64" s="218" t="s">
        <v>487</v>
      </c>
      <c r="D64" s="215">
        <f t="shared" si="14"/>
        <v>1.0462118230321532E-6</v>
      </c>
      <c r="E64" s="80">
        <f>PS!E$17*VLOOKUP($C64,'portland cement'!$B$6:$Y$72,24,FALSE)</f>
        <v>1.0462118230321532E-6</v>
      </c>
      <c r="F64" s="80">
        <f>PS!F$17*VLOOKUP($C64,'portland cement'!$B$6:$Y$72,24,FALSE)</f>
        <v>8.8880732147935484E-7</v>
      </c>
      <c r="G64" s="80">
        <f>PS!G$17*VLOOKUP($C64,'portland cement'!$B$6:$Y$72,24,FALSE)</f>
        <v>7.909042135767665E-7</v>
      </c>
      <c r="H64" s="80">
        <f>PS!H$17*VLOOKUP($C64,'portland cement'!$B$6:$Y$72,24,FALSE)</f>
        <v>6.7192535667329405E-7</v>
      </c>
      <c r="I64" s="80">
        <f>PS!I$17*VLOOKUP($C64,'portland cement'!$B$6:$Y$72,24,FALSE)</f>
        <v>5.5725223077020227E-7</v>
      </c>
      <c r="J64" s="80">
        <f>PS!J$17*VLOOKUP($C64,'portland cement'!$B$6:$Y$72,24,FALSE)</f>
        <v>4.5692134618554125E-7</v>
      </c>
      <c r="K64" s="80">
        <f>PS!K$17*VLOOKUP($C64,'portland cement'!$B$6:$Y$72,24,FALSE)</f>
        <v>3.6676646173637616E-7</v>
      </c>
      <c r="L64" s="80">
        <f>PS!L$17*VLOOKUP($C64,'portland cement'!$B$6:$Y$72,24,FALSE)</f>
        <v>3.4217876597751295E-7</v>
      </c>
      <c r="M64" s="80">
        <f>PS!M$17*VLOOKUP($C64,'portland cement'!$B$6:$Y$72,24,FALSE)</f>
        <v>2.9710132375293041E-7</v>
      </c>
      <c r="N64" s="80">
        <f>PS!N$17*VLOOKUP($C64,'portland cement'!$B$6:$Y$72,24,FALSE)</f>
        <v>2.2948516041605659E-7</v>
      </c>
      <c r="O64" s="80">
        <f>PS!O$17*VLOOKUP($C64,'portland cement'!$B$6:$Y$72,24,FALSE)</f>
        <v>4.1483302284712122E-7</v>
      </c>
      <c r="P64" s="80" t="e">
        <f>PS!P$17*VLOOKUP($C64,'portland cement'!$B$6:$Y$72,24,FALSE)</f>
        <v>#DIV/0!</v>
      </c>
      <c r="Q64" s="216" t="s">
        <v>863</v>
      </c>
      <c r="T64" t="s">
        <v>773</v>
      </c>
      <c r="U64">
        <v>2.8403049665019173E-4</v>
      </c>
      <c r="V64">
        <v>2.4129758370963211E-4</v>
      </c>
      <c r="W64">
        <v>2.1471838841763348E-4</v>
      </c>
      <c r="X64">
        <v>1.8241744985700436E-4</v>
      </c>
      <c r="Y64">
        <v>1.5128545135952213E-4</v>
      </c>
      <c r="Z64">
        <v>1.2404715185785562E-4</v>
      </c>
      <c r="AA64">
        <v>9.9571480639265271E-5</v>
      </c>
      <c r="AB64">
        <v>9.2896297579649723E-5</v>
      </c>
      <c r="AC64">
        <v>8.0658461970354548E-5</v>
      </c>
      <c r="AD64">
        <v>6.2301708556411785E-5</v>
      </c>
      <c r="AE64">
        <v>1.1262081627474311E-4</v>
      </c>
      <c r="AF64" t="e">
        <v>#DIV/0!</v>
      </c>
    </row>
    <row r="65" spans="1:32" ht="15" customHeight="1" x14ac:dyDescent="0.25">
      <c r="A65">
        <f t="shared" si="0"/>
        <v>62</v>
      </c>
      <c r="B65" t="str">
        <f t="shared" si="13"/>
        <v>CO2_to_air</v>
      </c>
      <c r="C65" s="218" t="s">
        <v>488</v>
      </c>
      <c r="D65" s="215">
        <f t="shared" si="14"/>
        <v>0.1990821212224036</v>
      </c>
      <c r="E65" s="80">
        <f>PS!E$17*VLOOKUP($C65,'portland cement'!$B$6:$Y$72,24,FALSE)</f>
        <v>0.1990821212224036</v>
      </c>
      <c r="F65" s="80">
        <f>PS!F$17*VLOOKUP($C65,'portland cement'!$B$6:$Y$72,24,FALSE)</f>
        <v>0.16912984829906161</v>
      </c>
      <c r="G65" s="80">
        <f>PS!G$17*VLOOKUP($C65,'portland cement'!$B$6:$Y$72,24,FALSE)</f>
        <v>0.15050000875182284</v>
      </c>
      <c r="H65" s="80">
        <f>PS!H$17*VLOOKUP($C65,'portland cement'!$B$6:$Y$72,24,FALSE)</f>
        <v>0.12785969567993344</v>
      </c>
      <c r="I65" s="80">
        <f>PS!I$17*VLOOKUP($C65,'portland cement'!$B$6:$Y$72,24,FALSE)</f>
        <v>0.10603871387738918</v>
      </c>
      <c r="J65" s="80">
        <f>PS!J$17*VLOOKUP($C65,'portland cement'!$B$6:$Y$72,24,FALSE)</f>
        <v>8.6946896247814751E-2</v>
      </c>
      <c r="K65" s="80">
        <f>PS!K$17*VLOOKUP($C65,'portland cement'!$B$6:$Y$72,24,FALSE)</f>
        <v>6.9791454835689867E-2</v>
      </c>
      <c r="L65" s="80">
        <f>PS!L$17*VLOOKUP($C65,'portland cement'!$B$6:$Y$72,24,FALSE)</f>
        <v>6.5112698086928544E-2</v>
      </c>
      <c r="M65" s="80">
        <f>PS!M$17*VLOOKUP($C65,'portland cement'!$B$6:$Y$72,24,FALSE)</f>
        <v>5.6534977380866096E-2</v>
      </c>
      <c r="N65" s="80">
        <f>PS!N$17*VLOOKUP($C65,'portland cement'!$B$6:$Y$72,24,FALSE)</f>
        <v>4.3668396321772433E-2</v>
      </c>
      <c r="O65" s="80">
        <f>PS!O$17*VLOOKUP($C65,'portland cement'!$B$6:$Y$72,24,FALSE)</f>
        <v>7.8937970613020492E-2</v>
      </c>
      <c r="P65" s="80" t="e">
        <f>PS!P$17*VLOOKUP($C65,'portland cement'!$B$6:$Y$72,24,FALSE)</f>
        <v>#DIV/0!</v>
      </c>
      <c r="Q65" s="216" t="s">
        <v>864</v>
      </c>
      <c r="T65" t="s">
        <v>751</v>
      </c>
      <c r="U65">
        <v>0</v>
      </c>
      <c r="V65">
        <v>0</v>
      </c>
      <c r="W65">
        <v>0</v>
      </c>
      <c r="X65">
        <v>0</v>
      </c>
      <c r="Y65">
        <v>0</v>
      </c>
      <c r="Z65">
        <v>0</v>
      </c>
      <c r="AA65">
        <v>0</v>
      </c>
      <c r="AB65">
        <v>0</v>
      </c>
      <c r="AC65">
        <v>0</v>
      </c>
      <c r="AD65">
        <v>0</v>
      </c>
      <c r="AE65">
        <v>0</v>
      </c>
      <c r="AF65" t="e">
        <v>#DIV/0!</v>
      </c>
    </row>
    <row r="66" spans="1:32" ht="15" customHeight="1" x14ac:dyDescent="0.25">
      <c r="A66">
        <f t="shared" si="0"/>
        <v>63</v>
      </c>
      <c r="B66" t="str">
        <f t="shared" si="13"/>
        <v>CO_to_air</v>
      </c>
      <c r="C66" s="218" t="s">
        <v>489</v>
      </c>
      <c r="D66" s="215">
        <f t="shared" si="14"/>
        <v>2.349495026437139E-4</v>
      </c>
      <c r="E66" s="80">
        <f>PS!E$17*VLOOKUP($C66,'portland cement'!$B$6:$Y$72,24,FALSE)</f>
        <v>2.349495026437139E-4</v>
      </c>
      <c r="F66" s="80">
        <f>PS!F$17*VLOOKUP($C66,'portland cement'!$B$6:$Y$72,24,FALSE)</f>
        <v>1.9960091592393343E-4</v>
      </c>
      <c r="G66" s="80">
        <f>PS!G$17*VLOOKUP($C66,'portland cement'!$B$6:$Y$72,24,FALSE)</f>
        <v>1.776146546309562E-4</v>
      </c>
      <c r="H66" s="80">
        <f>PS!H$17*VLOOKUP($C66,'portland cement'!$B$6:$Y$72,24,FALSE)</f>
        <v>1.5089537786578688E-4</v>
      </c>
      <c r="I66" s="80">
        <f>PS!I$17*VLOOKUP($C66,'portland cement'!$B$6:$Y$72,24,FALSE)</f>
        <v>1.2514304616354478E-4</v>
      </c>
      <c r="J66" s="80">
        <f>PS!J$17*VLOOKUP($C66,'portland cement'!$B$6:$Y$72,24,FALSE)</f>
        <v>1.026115750847234E-4</v>
      </c>
      <c r="K66" s="80">
        <f>PS!K$17*VLOOKUP($C66,'portland cement'!$B$6:$Y$72,24,FALSE)</f>
        <v>8.2365345023163619E-5</v>
      </c>
      <c r="L66" s="80">
        <f>PS!L$17*VLOOKUP($C66,'portland cement'!$B$6:$Y$72,24,FALSE)</f>
        <v>7.6843645915465505E-5</v>
      </c>
      <c r="M66" s="80">
        <f>PS!M$17*VLOOKUP($C66,'portland cement'!$B$6:$Y$72,24,FALSE)</f>
        <v>6.6720530884685616E-5</v>
      </c>
      <c r="N66" s="80">
        <f>PS!N$17*VLOOKUP($C66,'portland cement'!$B$6:$Y$72,24,FALSE)</f>
        <v>5.1535858338515783E-5</v>
      </c>
      <c r="O66" s="80">
        <f>PS!O$17*VLOOKUP($C66,'portland cement'!$B$6:$Y$72,24,FALSE)</f>
        <v>9.3159731377958393E-5</v>
      </c>
      <c r="P66" s="80" t="e">
        <f>PS!P$17*VLOOKUP($C66,'portland cement'!$B$6:$Y$72,24,FALSE)</f>
        <v>#DIV/0!</v>
      </c>
      <c r="Q66" s="216" t="s">
        <v>865</v>
      </c>
      <c r="T66" t="s">
        <v>516</v>
      </c>
      <c r="U66">
        <v>4.1133556469074829E-2</v>
      </c>
      <c r="V66">
        <v>3.9852387927425147E-2</v>
      </c>
      <c r="W66">
        <v>3.9055524240686285E-2</v>
      </c>
      <c r="X66">
        <v>1.5958386078278233E-2</v>
      </c>
      <c r="Y66">
        <v>1.5025022986486994E-2</v>
      </c>
      <c r="Z66">
        <v>1.4208396387373859E-2</v>
      </c>
      <c r="AA66">
        <v>1.3474594349177058E-2</v>
      </c>
      <c r="AB66">
        <v>1.3274466520577932E-2</v>
      </c>
      <c r="AC66">
        <v>1.2907565501479531E-2</v>
      </c>
      <c r="AD66">
        <v>1.235721397283193E-2</v>
      </c>
      <c r="AE66">
        <v>3.1422631376845714E-2</v>
      </c>
      <c r="AF66" t="e">
        <v>#DIV/0!</v>
      </c>
    </row>
    <row r="67" spans="1:32" ht="15" customHeight="1" x14ac:dyDescent="0.25">
      <c r="A67">
        <f t="shared" si="0"/>
        <v>64</v>
      </c>
      <c r="B67" t="str">
        <f t="shared" si="13"/>
        <v>HCl_to_air</v>
      </c>
      <c r="C67" s="218" t="s">
        <v>490</v>
      </c>
      <c r="D67" s="215">
        <f t="shared" si="14"/>
        <v>1.6087009765317058E-5</v>
      </c>
      <c r="E67" s="80">
        <f>PS!E$17*VLOOKUP($C67,'portland cement'!$B$6:$Y$72,24,FALSE)</f>
        <v>1.6087009765317058E-5</v>
      </c>
      <c r="F67" s="80">
        <f>PS!F$17*VLOOKUP($C67,'portland cement'!$B$6:$Y$72,24,FALSE)</f>
        <v>1.3666689426892714E-5</v>
      </c>
      <c r="G67" s="80">
        <f>PS!G$17*VLOOKUP($C67,'portland cement'!$B$6:$Y$72,24,FALSE)</f>
        <v>1.2161288495445367E-5</v>
      </c>
      <c r="H67" s="80">
        <f>PS!H$17*VLOOKUP($C67,'portland cement'!$B$6:$Y$72,24,FALSE)</f>
        <v>1.0331817645722807E-5</v>
      </c>
      <c r="I67" s="80">
        <f>PS!I$17*VLOOKUP($C67,'portland cement'!$B$6:$Y$72,24,FALSE)</f>
        <v>8.5685535957372294E-6</v>
      </c>
      <c r="J67" s="80">
        <f>PS!J$17*VLOOKUP($C67,'portland cement'!$B$6:$Y$72,24,FALSE)</f>
        <v>7.0258221100629969E-6</v>
      </c>
      <c r="K67" s="80">
        <f>PS!K$17*VLOOKUP($C67,'portland cement'!$B$6:$Y$72,24,FALSE)</f>
        <v>5.6395612452972045E-6</v>
      </c>
      <c r="L67" s="80">
        <f>PS!L$17*VLOOKUP($C67,'portland cement'!$B$6:$Y$72,24,FALSE)</f>
        <v>5.2614901003610787E-6</v>
      </c>
      <c r="M67" s="80">
        <f>PS!M$17*VLOOKUP($C67,'portland cement'!$B$6:$Y$72,24,FALSE)</f>
        <v>4.5683596679781821E-6</v>
      </c>
      <c r="N67" s="80">
        <f>PS!N$17*VLOOKUP($C67,'portland cement'!$B$6:$Y$72,24,FALSE)</f>
        <v>3.5286640194038372E-6</v>
      </c>
      <c r="O67" s="80">
        <f>PS!O$17*VLOOKUP($C67,'portland cement'!$B$6:$Y$72,24,FALSE)</f>
        <v>6.3786536747181636E-6</v>
      </c>
      <c r="P67" s="80" t="e">
        <f>PS!P$17*VLOOKUP($C67,'portland cement'!$B$6:$Y$72,24,FALSE)</f>
        <v>#DIV/0!</v>
      </c>
      <c r="Q67" s="216" t="s">
        <v>866</v>
      </c>
      <c r="T67" t="s">
        <v>321</v>
      </c>
      <c r="U67">
        <v>1.1928978279535172E-6</v>
      </c>
      <c r="V67">
        <v>1.2034475417634477E-6</v>
      </c>
      <c r="W67">
        <v>1.2291508361092592E-6</v>
      </c>
      <c r="X67">
        <v>1.1616366886873835E-6</v>
      </c>
      <c r="Y67">
        <v>1.1713956045504961E-6</v>
      </c>
      <c r="Z67">
        <v>1.1810876436188583E-6</v>
      </c>
      <c r="AA67">
        <v>1.1810876436188583E-6</v>
      </c>
      <c r="AB67">
        <v>1.1810876436188583E-6</v>
      </c>
      <c r="AC67">
        <v>1.1810876436188583E-6</v>
      </c>
      <c r="AD67">
        <v>1.1810876436188583E-6</v>
      </c>
      <c r="AE67">
        <v>1.1003887025258524E-6</v>
      </c>
      <c r="AF67" t="e">
        <v>#N/A</v>
      </c>
    </row>
    <row r="68" spans="1:32" ht="15" customHeight="1" x14ac:dyDescent="0.25">
      <c r="A68">
        <f t="shared" ref="A68:A131" si="15">A67+1</f>
        <v>65</v>
      </c>
      <c r="B68" t="str">
        <f t="shared" si="13"/>
        <v>Hg_to_air</v>
      </c>
      <c r="C68" s="218" t="s">
        <v>491</v>
      </c>
      <c r="D68" s="215">
        <f t="shared" si="14"/>
        <v>1.3397644719249109E-8</v>
      </c>
      <c r="E68" s="80">
        <f>PS!E$17*VLOOKUP($C68,'portland cement'!$B$6:$Y$72,24,FALSE)</f>
        <v>1.3397644719249109E-8</v>
      </c>
      <c r="F68" s="80">
        <f>PS!F$17*VLOOKUP($C68,'portland cement'!$B$6:$Y$72,24,FALSE)</f>
        <v>1.1381944320353812E-8</v>
      </c>
      <c r="G68" s="80">
        <f>PS!G$17*VLOOKUP($C68,'portland cement'!$B$6:$Y$72,24,FALSE)</f>
        <v>1.012821058526021E-8</v>
      </c>
      <c r="H68" s="80">
        <f>PS!H$17*VLOOKUP($C68,'portland cement'!$B$6:$Y$72,24,FALSE)</f>
        <v>8.6045837070289619E-9</v>
      </c>
      <c r="I68" s="80">
        <f>PS!I$17*VLOOKUP($C68,'portland cement'!$B$6:$Y$72,24,FALSE)</f>
        <v>7.1360954278173337E-9</v>
      </c>
      <c r="J68" s="80">
        <f>PS!J$17*VLOOKUP($C68,'portland cement'!$B$6:$Y$72,24,FALSE)</f>
        <v>5.8512719184275297E-9</v>
      </c>
      <c r="K68" s="80">
        <f>PS!K$17*VLOOKUP($C68,'portland cement'!$B$6:$Y$72,24,FALSE)</f>
        <v>4.6967608672579725E-9</v>
      </c>
      <c r="L68" s="80">
        <f>PS!L$17*VLOOKUP($C68,'portland cement'!$B$6:$Y$72,24,FALSE)</f>
        <v>4.3818942169390031E-9</v>
      </c>
      <c r="M68" s="80">
        <f>PS!M$17*VLOOKUP($C68,'portland cement'!$B$6:$Y$72,24,FALSE)</f>
        <v>3.8046386913542237E-9</v>
      </c>
      <c r="N68" s="80">
        <f>PS!N$17*VLOOKUP($C68,'portland cement'!$B$6:$Y$72,24,FALSE)</f>
        <v>2.9387554029770554E-9</v>
      </c>
      <c r="O68" s="80">
        <f>PS!O$17*VLOOKUP($C68,'portland cement'!$B$6:$Y$72,24,FALSE)</f>
        <v>5.312294638202604E-9</v>
      </c>
      <c r="P68" s="80" t="e">
        <f>PS!P$17*VLOOKUP($C68,'portland cement'!$B$6:$Y$72,24,FALSE)</f>
        <v>#DIV/0!</v>
      </c>
      <c r="Q68" s="216" t="s">
        <v>867</v>
      </c>
      <c r="T68" t="s">
        <v>237</v>
      </c>
      <c r="U68">
        <v>5.150540789435069E-5</v>
      </c>
      <c r="V68">
        <v>4.3756348938818038E-5</v>
      </c>
      <c r="W68">
        <v>3.893655986212886E-5</v>
      </c>
      <c r="X68">
        <v>3.3079297261114473E-5</v>
      </c>
      <c r="Y68">
        <v>2.7433913841871359E-5</v>
      </c>
      <c r="Z68">
        <v>2.2494602319078624E-5</v>
      </c>
      <c r="AA68">
        <v>1.8056256195760303E-5</v>
      </c>
      <c r="AB68">
        <v>1.6845798162128034E-5</v>
      </c>
      <c r="AC68">
        <v>1.4626625100468872E-5</v>
      </c>
      <c r="AD68">
        <v>1.1297865507980131E-5</v>
      </c>
      <c r="AE68">
        <v>2.0422385626160648E-5</v>
      </c>
      <c r="AF68" t="e">
        <v>#DIV/0!</v>
      </c>
    </row>
    <row r="69" spans="1:32" ht="15" customHeight="1" x14ac:dyDescent="0.25">
      <c r="A69">
        <f t="shared" si="15"/>
        <v>66</v>
      </c>
      <c r="B69" t="str">
        <f t="shared" si="13"/>
        <v>CH4_to_air</v>
      </c>
      <c r="C69" s="218" t="s">
        <v>492</v>
      </c>
      <c r="D69" s="215">
        <f t="shared" si="14"/>
        <v>8.2023261770863971E-6</v>
      </c>
      <c r="E69" s="80">
        <f>PS!E$17*VLOOKUP($C69,'portland cement'!$B$6:$Y$72,24,FALSE)</f>
        <v>8.2023261770863971E-6</v>
      </c>
      <c r="F69" s="80">
        <f>PS!F$17*VLOOKUP($C69,'portland cement'!$B$6:$Y$72,24,FALSE)</f>
        <v>6.9682710507201996E-6</v>
      </c>
      <c r="G69" s="80">
        <f>PS!G$17*VLOOKUP($C69,'portland cement'!$B$6:$Y$72,24,FALSE)</f>
        <v>6.2007082999570247E-6</v>
      </c>
      <c r="H69" s="80">
        <f>PS!H$17*VLOOKUP($C69,'portland cement'!$B$6:$Y$72,24,FALSE)</f>
        <v>5.2679111636459625E-6</v>
      </c>
      <c r="I69" s="80">
        <f>PS!I$17*VLOOKUP($C69,'portland cement'!$B$6:$Y$72,24,FALSE)</f>
        <v>4.3688710632605291E-6</v>
      </c>
      <c r="J69" s="80">
        <f>PS!J$17*VLOOKUP($C69,'portland cement'!$B$6:$Y$72,24,FALSE)</f>
        <v>3.5822744841720635E-6</v>
      </c>
      <c r="K69" s="80">
        <f>PS!K$17*VLOOKUP($C69,'portland cement'!$B$6:$Y$72,24,FALSE)</f>
        <v>2.875457994021522E-6</v>
      </c>
      <c r="L69" s="80">
        <f>PS!L$17*VLOOKUP($C69,'portland cement'!$B$6:$Y$72,24,FALSE)</f>
        <v>2.6826898603441019E-6</v>
      </c>
      <c r="M69" s="80">
        <f>PS!M$17*VLOOKUP($C69,'portland cement'!$B$6:$Y$72,24,FALSE)</f>
        <v>2.3292816152688307E-6</v>
      </c>
      <c r="N69" s="80">
        <f>PS!N$17*VLOOKUP($C69,'portland cement'!$B$6:$Y$72,24,FALSE)</f>
        <v>1.7991692476559243E-6</v>
      </c>
      <c r="O69" s="80">
        <f>PS!O$17*VLOOKUP($C69,'portland cement'!$B$6:$Y$72,24,FALSE)</f>
        <v>3.2523010039757986E-6</v>
      </c>
      <c r="P69" s="80" t="e">
        <f>PS!P$17*VLOOKUP($C69,'portland cement'!$B$6:$Y$72,24,FALSE)</f>
        <v>#DIV/0!</v>
      </c>
      <c r="Q69" s="216" t="s">
        <v>868</v>
      </c>
      <c r="T69" t="s">
        <v>325</v>
      </c>
      <c r="U69">
        <v>2290</v>
      </c>
      <c r="V69">
        <v>2380</v>
      </c>
      <c r="W69">
        <v>2320</v>
      </c>
      <c r="X69">
        <v>2370</v>
      </c>
      <c r="Y69">
        <v>2380</v>
      </c>
      <c r="Z69">
        <v>2320</v>
      </c>
      <c r="AA69">
        <v>2320</v>
      </c>
      <c r="AB69">
        <v>2320</v>
      </c>
      <c r="AC69">
        <v>2320</v>
      </c>
      <c r="AD69">
        <v>2320</v>
      </c>
      <c r="AE69">
        <v>1822</v>
      </c>
      <c r="AF69">
        <v>0</v>
      </c>
    </row>
    <row r="70" spans="1:32" ht="15" customHeight="1" x14ac:dyDescent="0.25">
      <c r="A70">
        <f t="shared" si="15"/>
        <v>67</v>
      </c>
      <c r="B70" t="str">
        <f t="shared" si="13"/>
        <v>NOx_to_air</v>
      </c>
      <c r="C70" s="218" t="s">
        <v>493</v>
      </c>
      <c r="D70" s="215">
        <f t="shared" si="14"/>
        <v>4.9218637363713244E-4</v>
      </c>
      <c r="E70" s="80">
        <f>PS!E$17*VLOOKUP($C70,'portland cement'!$B$6:$Y$72,24,FALSE)</f>
        <v>4.9218637363713244E-4</v>
      </c>
      <c r="F70" s="80">
        <f>PS!F$17*VLOOKUP($C70,'portland cement'!$B$6:$Y$72,24,FALSE)</f>
        <v>4.1813602445554869E-4</v>
      </c>
      <c r="G70" s="80">
        <f>PS!G$17*VLOOKUP($C70,'portland cement'!$B$6:$Y$72,24,FALSE)</f>
        <v>3.7207787964628388E-4</v>
      </c>
      <c r="H70" s="80">
        <f>PS!H$17*VLOOKUP($C70,'portland cement'!$B$6:$Y$72,24,FALSE)</f>
        <v>3.1610472886588816E-4</v>
      </c>
      <c r="I70" s="80">
        <f>PS!I$17*VLOOKUP($C70,'portland cement'!$B$6:$Y$72,24,FALSE)</f>
        <v>2.6215719286089458E-4</v>
      </c>
      <c r="J70" s="80">
        <f>PS!J$17*VLOOKUP($C70,'portland cement'!$B$6:$Y$72,24,FALSE)</f>
        <v>2.1495690974383756E-4</v>
      </c>
      <c r="K70" s="80">
        <f>PS!K$17*VLOOKUP($C70,'portland cement'!$B$6:$Y$72,24,FALSE)</f>
        <v>1.7254388719348398E-4</v>
      </c>
      <c r="L70" s="80">
        <f>PS!L$17*VLOOKUP($C70,'portland cement'!$B$6:$Y$72,24,FALSE)</f>
        <v>1.6097669922520572E-4</v>
      </c>
      <c r="M70" s="80">
        <f>PS!M$17*VLOOKUP($C70,'portland cement'!$B$6:$Y$72,24,FALSE)</f>
        <v>1.3977018795002891E-4</v>
      </c>
      <c r="N70" s="80">
        <f>PS!N$17*VLOOKUP($C70,'portland cement'!$B$6:$Y$72,24,FALSE)</f>
        <v>1.079604210372637E-4</v>
      </c>
      <c r="O70" s="80">
        <f>PS!O$17*VLOOKUP($C70,'portland cement'!$B$6:$Y$72,24,FALSE)</f>
        <v>1.9515661808170885E-4</v>
      </c>
      <c r="P70" s="80" t="e">
        <f>PS!P$17*VLOOKUP($C70,'portland cement'!$B$6:$Y$72,24,FALSE)</f>
        <v>#DIV/0!</v>
      </c>
      <c r="Q70" s="216" t="s">
        <v>869</v>
      </c>
      <c r="T70" t="s">
        <v>763</v>
      </c>
      <c r="U70">
        <v>8.8913912736232414E-5</v>
      </c>
      <c r="V70">
        <v>7.5536650305003372E-5</v>
      </c>
      <c r="W70">
        <v>6.7216204864587847E-5</v>
      </c>
      <c r="X70">
        <v>5.7104604644364654E-5</v>
      </c>
      <c r="Y70">
        <v>4.7358933562013349E-5</v>
      </c>
      <c r="Z70">
        <v>3.8832159805189356E-5</v>
      </c>
      <c r="AA70">
        <v>3.1170208991609393E-5</v>
      </c>
      <c r="AB70">
        <v>2.9080586042451224E-5</v>
      </c>
      <c r="AC70">
        <v>2.5249610635661239E-5</v>
      </c>
      <c r="AD70">
        <v>1.9503147525476267E-5</v>
      </c>
      <c r="AE70">
        <v>3.5255219241011082E-5</v>
      </c>
      <c r="AF70" t="e">
        <v>#DIV/0!</v>
      </c>
    </row>
    <row r="71" spans="1:32" ht="15" customHeight="1" x14ac:dyDescent="0.25">
      <c r="A71">
        <f t="shared" si="15"/>
        <v>68</v>
      </c>
      <c r="B71" t="str">
        <f t="shared" si="13"/>
        <v>PM_to_air</v>
      </c>
      <c r="C71" s="218" t="s">
        <v>494</v>
      </c>
      <c r="D71" s="215">
        <f t="shared" si="14"/>
        <v>6.0904810827576851E-4</v>
      </c>
      <c r="E71" s="80">
        <f>PS!E$17*VLOOKUP($C71,'portland cement'!$B$6:$Y$72,24,FALSE)</f>
        <v>6.0904810827576851E-4</v>
      </c>
      <c r="F71" s="80">
        <f>PS!F$17*VLOOKUP($C71,'portland cement'!$B$6:$Y$72,24,FALSE)</f>
        <v>5.1741569522677569E-4</v>
      </c>
      <c r="G71" s="80">
        <f>PS!G$17*VLOOKUP($C71,'portland cement'!$B$6:$Y$72,24,FALSE)</f>
        <v>4.6042178505514744E-4</v>
      </c>
      <c r="H71" s="80">
        <f>PS!H$17*VLOOKUP($C71,'portland cement'!$B$6:$Y$72,24,FALSE)</f>
        <v>3.9115871028711722E-4</v>
      </c>
      <c r="I71" s="80">
        <f>PS!I$17*VLOOKUP($C71,'portland cement'!$B$6:$Y$72,24,FALSE)</f>
        <v>3.2440219992869751E-4</v>
      </c>
      <c r="J71" s="80">
        <f>PS!J$17*VLOOKUP($C71,'portland cement'!$B$6:$Y$72,24,FALSE)</f>
        <v>2.6599496908626396E-4</v>
      </c>
      <c r="K71" s="80">
        <f>PS!K$17*VLOOKUP($C71,'portland cement'!$B$6:$Y$72,24,FALSE)</f>
        <v>2.1351165680018498E-4</v>
      </c>
      <c r="L71" s="80">
        <f>PS!L$17*VLOOKUP($C71,'portland cement'!$B$6:$Y$72,24,FALSE)</f>
        <v>1.991980261767089E-4</v>
      </c>
      <c r="M71" s="80">
        <f>PS!M$17*VLOOKUP($C71,'portland cement'!$B$6:$Y$72,24,FALSE)</f>
        <v>1.7295637003366938E-4</v>
      </c>
      <c r="N71" s="80">
        <f>PS!N$17*VLOOKUP($C71,'portland cement'!$B$6:$Y$72,24,FALSE)</f>
        <v>1.3359388581911014E-4</v>
      </c>
      <c r="O71" s="80">
        <f>PS!O$17*VLOOKUP($C71,'portland cement'!$B$6:$Y$72,24,FALSE)</f>
        <v>2.4149341677588083E-4</v>
      </c>
      <c r="P71" s="80" t="e">
        <f>PS!P$17*VLOOKUP($C71,'portland cement'!$B$6:$Y$72,24,FALSE)</f>
        <v>#DIV/0!</v>
      </c>
      <c r="Q71" s="216" t="s">
        <v>870</v>
      </c>
      <c r="T71" t="s">
        <v>231</v>
      </c>
      <c r="U71">
        <v>0.30931648670294853</v>
      </c>
      <c r="V71">
        <v>0.26040909219729036</v>
      </c>
      <c r="W71">
        <v>0.25203033551146697</v>
      </c>
      <c r="X71">
        <v>0.18370355547303496</v>
      </c>
      <c r="Y71">
        <v>0.16282102785447222</v>
      </c>
      <c r="Z71">
        <v>0.14630116500579421</v>
      </c>
      <c r="AA71">
        <v>0.13008005368456863</v>
      </c>
      <c r="AB71">
        <v>0.12565611423332529</v>
      </c>
      <c r="AC71">
        <v>0.11754555857271247</v>
      </c>
      <c r="AD71">
        <v>0.10537972508179329</v>
      </c>
      <c r="AE71">
        <v>0.14033583904018679</v>
      </c>
      <c r="AF71" t="e">
        <v>#DIV/0!</v>
      </c>
    </row>
    <row r="72" spans="1:32" ht="15" customHeight="1" x14ac:dyDescent="0.25">
      <c r="A72">
        <f t="shared" si="15"/>
        <v>69</v>
      </c>
      <c r="B72" t="str">
        <f t="shared" si="13"/>
        <v>SO2_to_air</v>
      </c>
      <c r="C72" s="218" t="s">
        <v>495</v>
      </c>
      <c r="D72" s="215">
        <f t="shared" si="14"/>
        <v>2.8403049665019173E-4</v>
      </c>
      <c r="E72" s="80">
        <f>PS!E$17*VLOOKUP($C72,'portland cement'!$B$6:$Y$72,24,FALSE)</f>
        <v>2.8403049665019173E-4</v>
      </c>
      <c r="F72" s="80">
        <f>PS!F$17*VLOOKUP($C72,'portland cement'!$B$6:$Y$72,24,FALSE)</f>
        <v>2.4129758370963211E-4</v>
      </c>
      <c r="G72" s="80">
        <f>PS!G$17*VLOOKUP($C72,'portland cement'!$B$6:$Y$72,24,FALSE)</f>
        <v>2.1471838841763348E-4</v>
      </c>
      <c r="H72" s="80">
        <f>PS!H$17*VLOOKUP($C72,'portland cement'!$B$6:$Y$72,24,FALSE)</f>
        <v>1.8241744985700436E-4</v>
      </c>
      <c r="I72" s="80">
        <f>PS!I$17*VLOOKUP($C72,'portland cement'!$B$6:$Y$72,24,FALSE)</f>
        <v>1.5128545135952213E-4</v>
      </c>
      <c r="J72" s="80">
        <f>PS!J$17*VLOOKUP($C72,'portland cement'!$B$6:$Y$72,24,FALSE)</f>
        <v>1.2404715185785562E-4</v>
      </c>
      <c r="K72" s="80">
        <f>PS!K$17*VLOOKUP($C72,'portland cement'!$B$6:$Y$72,24,FALSE)</f>
        <v>9.9571480639265271E-5</v>
      </c>
      <c r="L72" s="80">
        <f>PS!L$17*VLOOKUP($C72,'portland cement'!$B$6:$Y$72,24,FALSE)</f>
        <v>9.2896297579649723E-5</v>
      </c>
      <c r="M72" s="80">
        <f>PS!M$17*VLOOKUP($C72,'portland cement'!$B$6:$Y$72,24,FALSE)</f>
        <v>8.0658461970354548E-5</v>
      </c>
      <c r="N72" s="80">
        <f>PS!N$17*VLOOKUP($C72,'portland cement'!$B$6:$Y$72,24,FALSE)</f>
        <v>6.2301708556411785E-5</v>
      </c>
      <c r="O72" s="80">
        <f>PS!O$17*VLOOKUP($C72,'portland cement'!$B$6:$Y$72,24,FALSE)</f>
        <v>1.1262081627474311E-4</v>
      </c>
      <c r="P72" s="80" t="e">
        <f>PS!P$17*VLOOKUP($C72,'portland cement'!$B$6:$Y$72,24,FALSE)</f>
        <v>#DIV/0!</v>
      </c>
      <c r="Q72" s="216" t="s">
        <v>871</v>
      </c>
      <c r="T72" t="s">
        <v>238</v>
      </c>
      <c r="U72">
        <v>1.0203273933257675</v>
      </c>
      <c r="V72">
        <v>0.8990384845973054</v>
      </c>
      <c r="W72">
        <v>0.82359870364131593</v>
      </c>
      <c r="X72">
        <v>0.53265488023606655</v>
      </c>
      <c r="Y72">
        <v>0.44429286921313421</v>
      </c>
      <c r="Z72">
        <v>0.36698235151518299</v>
      </c>
      <c r="AA72">
        <v>0.29751300696970978</v>
      </c>
      <c r="AB72">
        <v>0.27856682209367162</v>
      </c>
      <c r="AC72">
        <v>0.24383214982093501</v>
      </c>
      <c r="AD72">
        <v>0.19173014141183009</v>
      </c>
      <c r="AE72">
        <v>0.32213266909407945</v>
      </c>
      <c r="AF72" t="e">
        <v>#DIV/0!</v>
      </c>
    </row>
    <row r="73" spans="1:32" ht="15" customHeight="1" x14ac:dyDescent="0.25">
      <c r="A73">
        <f t="shared" si="15"/>
        <v>70</v>
      </c>
      <c r="B73" t="str">
        <f t="shared" si="13"/>
        <v>NMVOC_air</v>
      </c>
      <c r="C73" s="218" t="s">
        <v>496</v>
      </c>
      <c r="D73" s="215">
        <f t="shared" si="14"/>
        <v>2.1636610538916616E-6</v>
      </c>
      <c r="E73" s="80">
        <f>PS!E$17*VLOOKUP($C73,'portland cement'!$B$6:$Y$72,24,FALSE)</f>
        <v>2.1636610538916616E-6</v>
      </c>
      <c r="F73" s="80">
        <f>PS!F$17*VLOOKUP($C73,'portland cement'!$B$6:$Y$72,24,FALSE)</f>
        <v>1.8381342511740509E-6</v>
      </c>
      <c r="G73" s="80">
        <f>PS!G$17*VLOOKUP($C73,'portland cement'!$B$6:$Y$72,24,FALSE)</f>
        <v>1.6356617336968009E-6</v>
      </c>
      <c r="H73" s="80">
        <f>PS!H$17*VLOOKUP($C73,'portland cement'!$B$6:$Y$72,24,FALSE)</f>
        <v>1.3896026534500269E-6</v>
      </c>
      <c r="I73" s="80">
        <f>PS!I$17*VLOOKUP($C73,'portland cement'!$B$6:$Y$72,24,FALSE)</f>
        <v>1.1524482159046298E-6</v>
      </c>
      <c r="J73" s="80">
        <f>PS!J$17*VLOOKUP($C73,'portland cement'!$B$6:$Y$72,24,FALSE)</f>
        <v>9.449548357885663E-7</v>
      </c>
      <c r="K73" s="80">
        <f>PS!K$17*VLOOKUP($C73,'portland cement'!$B$6:$Y$72,24,FALSE)</f>
        <v>7.5850634800965636E-7</v>
      </c>
      <c r="L73" s="80">
        <f>PS!L$17*VLOOKUP($C73,'portland cement'!$B$6:$Y$72,24,FALSE)</f>
        <v>7.0765676043359E-7</v>
      </c>
      <c r="M73" s="80">
        <f>PS!M$17*VLOOKUP($C73,'portland cement'!$B$6:$Y$72,24,FALSE)</f>
        <v>6.1443251654413502E-7</v>
      </c>
      <c r="N73" s="80">
        <f>PS!N$17*VLOOKUP($C73,'portland cement'!$B$6:$Y$72,24,FALSE)</f>
        <v>4.7459615070995256E-7</v>
      </c>
      <c r="O73" s="80">
        <f>PS!O$17*VLOOKUP($C73,'portland cement'!$B$6:$Y$72,24,FALSE)</f>
        <v>8.5791236119005453E-7</v>
      </c>
      <c r="P73" s="80" t="e">
        <f>PS!P$17*VLOOKUP($C73,'portland cement'!$B$6:$Y$72,24,FALSE)</f>
        <v>#DIV/0!</v>
      </c>
      <c r="Q73" s="216" t="s">
        <v>872</v>
      </c>
      <c r="T73" t="s">
        <v>515</v>
      </c>
      <c r="U73">
        <v>7.1244635193133047E-12</v>
      </c>
      <c r="V73">
        <v>7.1244635193133047E-12</v>
      </c>
      <c r="W73">
        <v>7.1244635193133047E-12</v>
      </c>
      <c r="X73">
        <v>1.237308868501529E-11</v>
      </c>
      <c r="Y73">
        <v>1.237308868501529E-11</v>
      </c>
      <c r="Z73">
        <v>1.237308868501529E-11</v>
      </c>
      <c r="AA73">
        <v>1.237308868501529E-11</v>
      </c>
      <c r="AB73">
        <v>1.237308868501529E-11</v>
      </c>
      <c r="AC73">
        <v>1.237308868501529E-11</v>
      </c>
      <c r="AD73">
        <v>1.237308868501529E-11</v>
      </c>
      <c r="AE73">
        <v>0</v>
      </c>
      <c r="AF73" t="e">
        <v>#N/A</v>
      </c>
    </row>
    <row r="74" spans="1:32" ht="15" customHeight="1" x14ac:dyDescent="0.25">
      <c r="A74">
        <f t="shared" si="15"/>
        <v>71</v>
      </c>
      <c r="B74" t="str">
        <f t="shared" si="13"/>
        <v>solidwaste</v>
      </c>
      <c r="C74" s="218" t="s">
        <v>497</v>
      </c>
      <c r="D74" s="215">
        <f t="shared" si="14"/>
        <v>8.5154828029253195E-3</v>
      </c>
      <c r="E74" s="80">
        <f>PS!E$17*VLOOKUP($C74,'portland cement'!$B$6:$Y$72,24,FALSE)</f>
        <v>8.5154828029253195E-3</v>
      </c>
      <c r="F74" s="80">
        <f>PS!F$17*VLOOKUP($C74,'portland cement'!$B$6:$Y$72,24,FALSE)</f>
        <v>7.2343126836743425E-3</v>
      </c>
      <c r="G74" s="80">
        <f>PS!G$17*VLOOKUP($C74,'portland cement'!$B$6:$Y$72,24,FALSE)</f>
        <v>6.4374451532719342E-3</v>
      </c>
      <c r="H74" s="80">
        <f>PS!H$17*VLOOKUP($C74,'portland cement'!$B$6:$Y$72,24,FALSE)</f>
        <v>5.4690347534191936E-3</v>
      </c>
      <c r="I74" s="80">
        <f>PS!I$17*VLOOKUP($C74,'portland cement'!$B$6:$Y$72,24,FALSE)</f>
        <v>4.535670199427284E-3</v>
      </c>
      <c r="J74" s="80">
        <f>PS!J$17*VLOOKUP($C74,'portland cement'!$B$6:$Y$72,24,FALSE)</f>
        <v>3.7190421481337857E-3</v>
      </c>
      <c r="K74" s="80">
        <f>PS!K$17*VLOOKUP($C74,'portland cement'!$B$6:$Y$72,24,FALSE)</f>
        <v>2.985240109936985E-3</v>
      </c>
      <c r="L74" s="80">
        <f>PS!L$17*VLOOKUP($C74,'portland cement'!$B$6:$Y$72,24,FALSE)</f>
        <v>2.7851122813378577E-3</v>
      </c>
      <c r="M74" s="80">
        <f>PS!M$17*VLOOKUP($C74,'portland cement'!$B$6:$Y$72,24,FALSE)</f>
        <v>2.4182112622394571E-3</v>
      </c>
      <c r="N74" s="80">
        <f>PS!N$17*VLOOKUP($C74,'portland cement'!$B$6:$Y$72,24,FALSE)</f>
        <v>1.8678597335918565E-3</v>
      </c>
      <c r="O74" s="80">
        <f>PS!O$17*VLOOKUP($C74,'portland cement'!$B$6:$Y$72,24,FALSE)</f>
        <v>3.376470609844774E-3</v>
      </c>
      <c r="P74" s="80" t="e">
        <f>PS!P$17*VLOOKUP($C74,'portland cement'!$B$6:$Y$72,24,FALSE)</f>
        <v>#DIV/0!</v>
      </c>
      <c r="Q74" s="216" t="s">
        <v>873</v>
      </c>
      <c r="T74" t="s">
        <v>772</v>
      </c>
      <c r="U74">
        <v>7.2775810388201812E-9</v>
      </c>
      <c r="V74">
        <v>6.1826555268855082E-9</v>
      </c>
      <c r="W74">
        <v>5.5016291935675891E-9</v>
      </c>
      <c r="X74">
        <v>4.6739972991853373E-9</v>
      </c>
      <c r="Y74">
        <v>3.87631661123833E-9</v>
      </c>
      <c r="Z74">
        <v>3.1784023579418972E-9</v>
      </c>
      <c r="AA74">
        <v>2.55127364157668E-9</v>
      </c>
      <c r="AB74">
        <v>2.3802385371134388E-9</v>
      </c>
      <c r="AC74">
        <v>2.06667417893083E-9</v>
      </c>
      <c r="AD74">
        <v>1.596327641656917E-9</v>
      </c>
      <c r="AE74">
        <v>2.8856306867179095E-9</v>
      </c>
      <c r="AF74" t="e">
        <v>#DIV/0!</v>
      </c>
    </row>
    <row r="75" spans="1:32" ht="15" customHeight="1" x14ac:dyDescent="0.25">
      <c r="A75">
        <f t="shared" si="15"/>
        <v>72</v>
      </c>
      <c r="B75" t="str">
        <f t="shared" si="13"/>
        <v>water_in</v>
      </c>
      <c r="C75" s="218" t="s">
        <v>776</v>
      </c>
      <c r="D75" s="215">
        <f t="shared" si="14"/>
        <v>4.3347639484978544E-2</v>
      </c>
      <c r="E75" s="260">
        <f>INDEX('Plant Operations'!$B$6:$T$62,MATCH(PS!$C75,'Plant Operations'!$B$6:$B$62,0),MATCH(PS!E$7,'Plant Operations'!$B$6:$T$6,0))</f>
        <v>4.3347639484978544E-2</v>
      </c>
      <c r="F75" s="260">
        <f>INDEX('Plant Operations'!$B$6:$T$62,MATCH(PS!$C75,'Plant Operations'!$B$6:$B$62,0),MATCH(PS!F$7,'Plant Operations'!$B$6:$T$6,0))</f>
        <v>4.3347639484978544E-2</v>
      </c>
      <c r="G75" s="260">
        <f>INDEX('Plant Operations'!$B$6:$T$62,MATCH(PS!$C75,'Plant Operations'!$B$6:$B$62,0),MATCH(PS!G$7,'Plant Operations'!$B$6:$T$6,0))</f>
        <v>4.3347639484978544E-2</v>
      </c>
      <c r="H75" s="260">
        <f>INDEX('Plant Operations'!$B$6:$T$62,MATCH(PS!$C75,'Plant Operations'!$B$6:$B$62,0),MATCH(PS!H$7,'Plant Operations'!$B$6:$T$6,0))</f>
        <v>3.3137614678899088E-3</v>
      </c>
      <c r="I75" s="260">
        <f>INDEX('Plant Operations'!$B$6:$T$62,MATCH(PS!$C75,'Plant Operations'!$B$6:$B$62,0),MATCH(PS!I$7,'Plant Operations'!$B$6:$T$6,0))</f>
        <v>3.3137614678899088E-3</v>
      </c>
      <c r="J75" s="260">
        <f>INDEX('Plant Operations'!$B$6:$T$62,MATCH(PS!$C75,'Plant Operations'!$B$6:$B$62,0),MATCH(PS!J$7,'Plant Operations'!$B$6:$T$6,0))</f>
        <v>3.3137614678899088E-3</v>
      </c>
      <c r="K75" s="260">
        <f>INDEX('Plant Operations'!$B$6:$T$62,MATCH(PS!$C75,'Plant Operations'!$B$6:$B$62,0),MATCH(PS!K$7,'Plant Operations'!$B$6:$T$6,0))</f>
        <v>3.3137614678899088E-3</v>
      </c>
      <c r="L75" s="260">
        <f>INDEX('Plant Operations'!$B$6:$T$62,MATCH(PS!$C75,'Plant Operations'!$B$6:$B$62,0),MATCH(PS!L$7,'Plant Operations'!$B$6:$T$6,0))</f>
        <v>3.3137614678899088E-3</v>
      </c>
      <c r="M75" s="260">
        <f>INDEX('Plant Operations'!$B$6:$T$62,MATCH(PS!$C75,'Plant Operations'!$B$6:$B$62,0),MATCH(PS!M$7,'Plant Operations'!$B$6:$T$6,0))</f>
        <v>3.3137614678899088E-3</v>
      </c>
      <c r="N75" s="260">
        <f>INDEX('Plant Operations'!$B$6:$T$62,MATCH(PS!$C75,'Plant Operations'!$B$6:$B$62,0),MATCH(PS!N$7,'Plant Operations'!$B$6:$T$6,0))</f>
        <v>3.3137614678899088E-3</v>
      </c>
      <c r="O75" s="260">
        <f>INDEX('Plant Operations'!$B$6:$T$62,MATCH(PS!$C75,'Plant Operations'!$B$6:$B$62,0),MATCH(PS!O$7,'Plant Operations'!$B$6:$T$6,0))</f>
        <v>5.8726673984632266E-3</v>
      </c>
      <c r="P75" s="260" t="e">
        <f>INDEX('Plant Operations'!$B$6:$T$62,MATCH(PS!$C75,'Plant Operations'!$B$6:$B$62,0),MATCH(PS!P$7,'Plant Operations'!$B$6:$T$6,0))</f>
        <v>#N/A</v>
      </c>
      <c r="Q75" s="216" t="s">
        <v>1020</v>
      </c>
    </row>
    <row r="76" spans="1:32" ht="15" customHeight="1" x14ac:dyDescent="0.25">
      <c r="A76">
        <f t="shared" si="15"/>
        <v>73</v>
      </c>
      <c r="B76" t="str">
        <f t="shared" si="13"/>
        <v>gasoline</v>
      </c>
      <c r="C76" s="218" t="s">
        <v>517</v>
      </c>
      <c r="D76" s="215">
        <f t="shared" si="14"/>
        <v>2.8769160219632413E-4</v>
      </c>
      <c r="E76" s="260">
        <f>INDEX('Plant Operations'!$B$6:$T$62,MATCH(PS!$C76,'Plant Operations'!$B$6:$B$62,0),MATCH(PS!E$7,'Plant Operations'!$B$6:$T$6,0))</f>
        <v>2.8769160219632413E-4</v>
      </c>
      <c r="F76" s="260">
        <f>INDEX('Plant Operations'!$B$6:$T$62,MATCH(PS!$C76,'Plant Operations'!$B$6:$B$62,0),MATCH(PS!F$7,'Plant Operations'!$B$6:$T$6,0))</f>
        <v>2.8769160219632413E-4</v>
      </c>
      <c r="G76" s="260">
        <f>INDEX('Plant Operations'!$B$6:$T$62,MATCH(PS!$C76,'Plant Operations'!$B$6:$B$62,0),MATCH(PS!G$7,'Plant Operations'!$B$6:$T$6,0))</f>
        <v>2.8769160219632413E-4</v>
      </c>
      <c r="H76" s="260">
        <f>INDEX('Plant Operations'!$B$6:$T$62,MATCH(PS!$C76,'Plant Operations'!$B$6:$B$62,0),MATCH(PS!H$7,'Plant Operations'!$B$6:$T$6,0))</f>
        <v>0</v>
      </c>
      <c r="I76" s="260">
        <f>INDEX('Plant Operations'!$B$6:$T$62,MATCH(PS!$C76,'Plant Operations'!$B$6:$B$62,0),MATCH(PS!I$7,'Plant Operations'!$B$6:$T$6,0))</f>
        <v>0</v>
      </c>
      <c r="J76" s="260">
        <f>INDEX('Plant Operations'!$B$6:$T$62,MATCH(PS!$C76,'Plant Operations'!$B$6:$B$62,0),MATCH(PS!J$7,'Plant Operations'!$B$6:$T$6,0))</f>
        <v>0</v>
      </c>
      <c r="K76" s="260">
        <f>INDEX('Plant Operations'!$B$6:$T$62,MATCH(PS!$C76,'Plant Operations'!$B$6:$B$62,0),MATCH(PS!K$7,'Plant Operations'!$B$6:$T$6,0))</f>
        <v>0</v>
      </c>
      <c r="L76" s="260">
        <f>INDEX('Plant Operations'!$B$6:$T$62,MATCH(PS!$C76,'Plant Operations'!$B$6:$B$62,0),MATCH(PS!L$7,'Plant Operations'!$B$6:$T$6,0))</f>
        <v>0</v>
      </c>
      <c r="M76" s="260">
        <f>INDEX('Plant Operations'!$B$6:$T$62,MATCH(PS!$C76,'Plant Operations'!$B$6:$B$62,0),MATCH(PS!M$7,'Plant Operations'!$B$6:$T$6,0))</f>
        <v>0</v>
      </c>
      <c r="N76" s="260">
        <f>INDEX('Plant Operations'!$B$6:$T$62,MATCH(PS!$C76,'Plant Operations'!$B$6:$B$62,0),MATCH(PS!N$7,'Plant Operations'!$B$6:$T$6,0))</f>
        <v>0</v>
      </c>
      <c r="O76" s="260">
        <f>INDEX('Plant Operations'!$B$6:$T$62,MATCH(PS!$C76,'Plant Operations'!$B$6:$B$62,0),MATCH(PS!O$7,'Plant Operations'!$B$6:$T$6,0))</f>
        <v>0</v>
      </c>
      <c r="P76" s="260" t="e">
        <f>INDEX('Plant Operations'!$B$6:$T$62,MATCH(PS!$C76,'Plant Operations'!$B$6:$B$62,0),MATCH(PS!P$7,'Plant Operations'!$B$6:$T$6,0))</f>
        <v>#N/A</v>
      </c>
      <c r="Q76" s="216" t="s">
        <v>1021</v>
      </c>
    </row>
    <row r="77" spans="1:32" ht="15" customHeight="1" x14ac:dyDescent="0.25">
      <c r="A77">
        <f t="shared" si="15"/>
        <v>74</v>
      </c>
      <c r="B77" t="str">
        <f t="shared" si="13"/>
        <v>LPG</v>
      </c>
      <c r="C77" s="218" t="s">
        <v>518</v>
      </c>
      <c r="D77" s="215">
        <f t="shared" si="14"/>
        <v>1.6708154506437767E-6</v>
      </c>
      <c r="E77" s="260">
        <f>INDEX('Plant Operations'!$B$6:$T$62,MATCH(PS!$C77,'Plant Operations'!$B$6:$B$62,0),MATCH(PS!E$7,'Plant Operations'!$B$6:$T$6,0))</f>
        <v>1.6708154506437767E-6</v>
      </c>
      <c r="F77" s="260">
        <f>INDEX('Plant Operations'!$B$6:$T$62,MATCH(PS!$C77,'Plant Operations'!$B$6:$B$62,0),MATCH(PS!F$7,'Plant Operations'!$B$6:$T$6,0))</f>
        <v>1.6708154506437767E-6</v>
      </c>
      <c r="G77" s="260">
        <f>INDEX('Plant Operations'!$B$6:$T$62,MATCH(PS!$C77,'Plant Operations'!$B$6:$B$62,0),MATCH(PS!G$7,'Plant Operations'!$B$6:$T$6,0))</f>
        <v>1.6708154506437767E-6</v>
      </c>
      <c r="H77" s="260">
        <f>INDEX('Plant Operations'!$B$6:$T$62,MATCH(PS!$C77,'Plant Operations'!$B$6:$B$62,0),MATCH(PS!H$7,'Plant Operations'!$B$6:$T$6,0))</f>
        <v>0</v>
      </c>
      <c r="I77" s="260">
        <f>INDEX('Plant Operations'!$B$6:$T$62,MATCH(PS!$C77,'Plant Operations'!$B$6:$B$62,0),MATCH(PS!I$7,'Plant Operations'!$B$6:$T$6,0))</f>
        <v>0</v>
      </c>
      <c r="J77" s="260">
        <f>INDEX('Plant Operations'!$B$6:$T$62,MATCH(PS!$C77,'Plant Operations'!$B$6:$B$62,0),MATCH(PS!J$7,'Plant Operations'!$B$6:$T$6,0))</f>
        <v>0</v>
      </c>
      <c r="K77" s="260">
        <f>INDEX('Plant Operations'!$B$6:$T$62,MATCH(PS!$C77,'Plant Operations'!$B$6:$B$62,0),MATCH(PS!K$7,'Plant Operations'!$B$6:$T$6,0))</f>
        <v>0</v>
      </c>
      <c r="L77" s="260">
        <f>INDEX('Plant Operations'!$B$6:$T$62,MATCH(PS!$C77,'Plant Operations'!$B$6:$B$62,0),MATCH(PS!L$7,'Plant Operations'!$B$6:$T$6,0))</f>
        <v>0</v>
      </c>
      <c r="M77" s="260">
        <f>INDEX('Plant Operations'!$B$6:$T$62,MATCH(PS!$C77,'Plant Operations'!$B$6:$B$62,0),MATCH(PS!M$7,'Plant Operations'!$B$6:$T$6,0))</f>
        <v>0</v>
      </c>
      <c r="N77" s="260">
        <f>INDEX('Plant Operations'!$B$6:$T$62,MATCH(PS!$C77,'Plant Operations'!$B$6:$B$62,0),MATCH(PS!N$7,'Plant Operations'!$B$6:$T$6,0))</f>
        <v>0</v>
      </c>
      <c r="O77" s="260">
        <f>INDEX('Plant Operations'!$B$6:$T$62,MATCH(PS!$C77,'Plant Operations'!$B$6:$B$62,0),MATCH(PS!O$7,'Plant Operations'!$B$6:$T$6,0))</f>
        <v>1.464873765093304E-6</v>
      </c>
      <c r="P77" s="260" t="e">
        <f>INDEX('Plant Operations'!$B$6:$T$62,MATCH(PS!$C77,'Plant Operations'!$B$6:$B$62,0),MATCH(PS!P$7,'Plant Operations'!$B$6:$T$6,0))</f>
        <v>#N/A</v>
      </c>
      <c r="Q77" s="216" t="s">
        <v>1022</v>
      </c>
    </row>
    <row r="78" spans="1:32" ht="15" customHeight="1" x14ac:dyDescent="0.25">
      <c r="A78">
        <f t="shared" si="15"/>
        <v>75</v>
      </c>
      <c r="B78" t="str">
        <f t="shared" si="13"/>
        <v>distillate</v>
      </c>
      <c r="C78" s="218" t="s">
        <v>519</v>
      </c>
      <c r="D78" s="215">
        <f t="shared" si="14"/>
        <v>2.3390462713243918E-3</v>
      </c>
      <c r="E78" s="260">
        <f>INDEX('Plant Operations'!$B$6:$T$62,MATCH(PS!$C78,'Plant Operations'!$B$6:$B$62,0),MATCH(PS!E$7,'Plant Operations'!$B$6:$T$6,0))</f>
        <v>2.3390462713243918E-3</v>
      </c>
      <c r="F78" s="260">
        <f>INDEX('Plant Operations'!$B$6:$T$62,MATCH(PS!$C78,'Plant Operations'!$B$6:$B$62,0),MATCH(PS!F$7,'Plant Operations'!$B$6:$T$6,0))</f>
        <v>2.3390462713243918E-3</v>
      </c>
      <c r="G78" s="260">
        <f>INDEX('Plant Operations'!$B$6:$T$62,MATCH(PS!$C78,'Plant Operations'!$B$6:$B$62,0),MATCH(PS!G$7,'Plant Operations'!$B$6:$T$6,0))</f>
        <v>2.3390462713243918E-3</v>
      </c>
      <c r="H78" s="260">
        <f>INDEX('Plant Operations'!$B$6:$T$62,MATCH(PS!$C78,'Plant Operations'!$B$6:$B$62,0),MATCH(PS!H$7,'Plant Operations'!$B$6:$T$6,0))</f>
        <v>1.6213991497988155E-4</v>
      </c>
      <c r="I78" s="260">
        <f>INDEX('Plant Operations'!$B$6:$T$62,MATCH(PS!$C78,'Plant Operations'!$B$6:$B$62,0),MATCH(PS!I$7,'Plant Operations'!$B$6:$T$6,0))</f>
        <v>1.6213991497988155E-4</v>
      </c>
      <c r="J78" s="260">
        <f>INDEX('Plant Operations'!$B$6:$T$62,MATCH(PS!$C78,'Plant Operations'!$B$6:$B$62,0),MATCH(PS!J$7,'Plant Operations'!$B$6:$T$6,0))</f>
        <v>1.6213991497988155E-4</v>
      </c>
      <c r="K78" s="260">
        <f>INDEX('Plant Operations'!$B$6:$T$62,MATCH(PS!$C78,'Plant Operations'!$B$6:$B$62,0),MATCH(PS!K$7,'Plant Operations'!$B$6:$T$6,0))</f>
        <v>1.6213991497988155E-4</v>
      </c>
      <c r="L78" s="260">
        <f>INDEX('Plant Operations'!$B$6:$T$62,MATCH(PS!$C78,'Plant Operations'!$B$6:$B$62,0),MATCH(PS!L$7,'Plant Operations'!$B$6:$T$6,0))</f>
        <v>1.6213991497988155E-4</v>
      </c>
      <c r="M78" s="260">
        <f>INDEX('Plant Operations'!$B$6:$T$62,MATCH(PS!$C78,'Plant Operations'!$B$6:$B$62,0),MATCH(PS!M$7,'Plant Operations'!$B$6:$T$6,0))</f>
        <v>1.6213991497988155E-4</v>
      </c>
      <c r="N78" s="260">
        <f>INDEX('Plant Operations'!$B$6:$T$62,MATCH(PS!$C78,'Plant Operations'!$B$6:$B$62,0),MATCH(PS!N$7,'Plant Operations'!$B$6:$T$6,0))</f>
        <v>1.6213991497988155E-4</v>
      </c>
      <c r="O78" s="260">
        <f>INDEX('Plant Operations'!$B$6:$T$62,MATCH(PS!$C78,'Plant Operations'!$B$6:$B$62,0),MATCH(PS!O$7,'Plant Operations'!$B$6:$T$6,0))</f>
        <v>0</v>
      </c>
      <c r="P78" s="260" t="e">
        <f>INDEX('Plant Operations'!$B$6:$T$62,MATCH(PS!$C78,'Plant Operations'!$B$6:$B$62,0),MATCH(PS!P$7,'Plant Operations'!$B$6:$T$6,0))</f>
        <v>#N/A</v>
      </c>
      <c r="Q78" s="216" t="s">
        <v>1023</v>
      </c>
    </row>
    <row r="79" spans="1:32" ht="15" customHeight="1" x14ac:dyDescent="0.25">
      <c r="A79">
        <f t="shared" si="15"/>
        <v>76</v>
      </c>
      <c r="B79" t="str">
        <f t="shared" si="13"/>
        <v>nat_gas</v>
      </c>
      <c r="C79" s="218" t="s">
        <v>520</v>
      </c>
      <c r="D79" s="215">
        <f t="shared" si="14"/>
        <v>3.1381974248927045E-3</v>
      </c>
      <c r="E79" s="260">
        <f>INDEX('Plant Operations'!$B$6:$T$62,MATCH(PS!$C79,'Plant Operations'!$B$6:$B$62,0),MATCH(PS!E$7,'Plant Operations'!$B$6:$T$6,0))</f>
        <v>3.1381974248927045E-3</v>
      </c>
      <c r="F79" s="260">
        <f>INDEX('Plant Operations'!$B$6:$T$62,MATCH(PS!$C79,'Plant Operations'!$B$6:$B$62,0),MATCH(PS!F$7,'Plant Operations'!$B$6:$T$6,0))</f>
        <v>3.1381974248927045E-3</v>
      </c>
      <c r="G79" s="260">
        <f>INDEX('Plant Operations'!$B$6:$T$62,MATCH(PS!$C79,'Plant Operations'!$B$6:$B$62,0),MATCH(PS!G$7,'Plant Operations'!$B$6:$T$6,0))</f>
        <v>3.1381974248927045E-3</v>
      </c>
      <c r="H79" s="260">
        <f>INDEX('Plant Operations'!$B$6:$T$62,MATCH(PS!$C79,'Plant Operations'!$B$6:$B$62,0),MATCH(PS!H$7,'Plant Operations'!$B$6:$T$6,0))</f>
        <v>1.003547400611621E-4</v>
      </c>
      <c r="I79" s="260">
        <f>INDEX('Plant Operations'!$B$6:$T$62,MATCH(PS!$C79,'Plant Operations'!$B$6:$B$62,0),MATCH(PS!I$7,'Plant Operations'!$B$6:$T$6,0))</f>
        <v>1.003547400611621E-4</v>
      </c>
      <c r="J79" s="260">
        <f>INDEX('Plant Operations'!$B$6:$T$62,MATCH(PS!$C79,'Plant Operations'!$B$6:$B$62,0),MATCH(PS!J$7,'Plant Operations'!$B$6:$T$6,0))</f>
        <v>1.003547400611621E-4</v>
      </c>
      <c r="K79" s="260">
        <f>INDEX('Plant Operations'!$B$6:$T$62,MATCH(PS!$C79,'Plant Operations'!$B$6:$B$62,0),MATCH(PS!K$7,'Plant Operations'!$B$6:$T$6,0))</f>
        <v>1.003547400611621E-4</v>
      </c>
      <c r="L79" s="260">
        <f>INDEX('Plant Operations'!$B$6:$T$62,MATCH(PS!$C79,'Plant Operations'!$B$6:$B$62,0),MATCH(PS!L$7,'Plant Operations'!$B$6:$T$6,0))</f>
        <v>1.003547400611621E-4</v>
      </c>
      <c r="M79" s="260">
        <f>INDEX('Plant Operations'!$B$6:$T$62,MATCH(PS!$C79,'Plant Operations'!$B$6:$B$62,0),MATCH(PS!M$7,'Plant Operations'!$B$6:$T$6,0))</f>
        <v>1.003547400611621E-4</v>
      </c>
      <c r="N79" s="260">
        <f>INDEX('Plant Operations'!$B$6:$T$62,MATCH(PS!$C79,'Plant Operations'!$B$6:$B$62,0),MATCH(PS!N$7,'Plant Operations'!$B$6:$T$6,0))</f>
        <v>1.003547400611621E-4</v>
      </c>
      <c r="O79" s="260">
        <f>INDEX('Plant Operations'!$B$6:$T$62,MATCH(PS!$C79,'Plant Operations'!$B$6:$B$62,0),MATCH(PS!O$7,'Plant Operations'!$B$6:$T$6,0))</f>
        <v>1.7694840834248078E-3</v>
      </c>
      <c r="P79" s="260" t="e">
        <f>INDEX('Plant Operations'!$B$6:$T$62,MATCH(PS!$C79,'Plant Operations'!$B$6:$B$62,0),MATCH(PS!P$7,'Plant Operations'!$B$6:$T$6,0))</f>
        <v>#N/A</v>
      </c>
      <c r="Q79" s="216" t="s">
        <v>1024</v>
      </c>
    </row>
    <row r="80" spans="1:32" ht="15" customHeight="1" x14ac:dyDescent="0.25">
      <c r="A80">
        <f t="shared" si="15"/>
        <v>77</v>
      </c>
      <c r="B80" t="str">
        <f t="shared" si="13"/>
        <v>electric</v>
      </c>
      <c r="C80" s="218" t="s">
        <v>521</v>
      </c>
      <c r="D80" s="215">
        <f t="shared" si="14"/>
        <v>1.6351931330472105E-2</v>
      </c>
      <c r="E80" s="260">
        <f>INDEX('Plant Operations'!$B$6:$T$62,MATCH(PS!$C80,'Plant Operations'!$B$6:$B$62,0),MATCH(PS!E$7,'Plant Operations'!$B$6:$T$6,0))</f>
        <v>1.6351931330472105E-2</v>
      </c>
      <c r="F80" s="260">
        <f>INDEX('Plant Operations'!$B$6:$T$62,MATCH(PS!$C80,'Plant Operations'!$B$6:$B$62,0),MATCH(PS!F$7,'Plant Operations'!$B$6:$T$6,0))</f>
        <v>1.6351931330472105E-2</v>
      </c>
      <c r="G80" s="260">
        <f>INDEX('Plant Operations'!$B$6:$T$62,MATCH(PS!$C80,'Plant Operations'!$B$6:$B$62,0),MATCH(PS!G$7,'Plant Operations'!$B$6:$T$6,0))</f>
        <v>1.6351931330472105E-2</v>
      </c>
      <c r="H80" s="260">
        <f>INDEX('Plant Operations'!$B$6:$T$62,MATCH(PS!$C80,'Plant Operations'!$B$6:$B$62,0),MATCH(PS!H$7,'Plant Operations'!$B$6:$T$6,0))</f>
        <v>1.7596330275229358E-3</v>
      </c>
      <c r="I80" s="260">
        <f>INDEX('Plant Operations'!$B$6:$T$62,MATCH(PS!$C80,'Plant Operations'!$B$6:$B$62,0),MATCH(PS!I$7,'Plant Operations'!$B$6:$T$6,0))</f>
        <v>1.7596330275229358E-3</v>
      </c>
      <c r="J80" s="260">
        <f>INDEX('Plant Operations'!$B$6:$T$62,MATCH(PS!$C80,'Plant Operations'!$B$6:$B$62,0),MATCH(PS!J$7,'Plant Operations'!$B$6:$T$6,0))</f>
        <v>1.7596330275229358E-3</v>
      </c>
      <c r="K80" s="260">
        <f>INDEX('Plant Operations'!$B$6:$T$62,MATCH(PS!$C80,'Plant Operations'!$B$6:$B$62,0),MATCH(PS!K$7,'Plant Operations'!$B$6:$T$6,0))</f>
        <v>1.7596330275229358E-3</v>
      </c>
      <c r="L80" s="260">
        <f>INDEX('Plant Operations'!$B$6:$T$62,MATCH(PS!$C80,'Plant Operations'!$B$6:$B$62,0),MATCH(PS!L$7,'Plant Operations'!$B$6:$T$6,0))</f>
        <v>1.7596330275229358E-3</v>
      </c>
      <c r="M80" s="260">
        <f>INDEX('Plant Operations'!$B$6:$T$62,MATCH(PS!$C80,'Plant Operations'!$B$6:$B$62,0),MATCH(PS!M$7,'Plant Operations'!$B$6:$T$6,0))</f>
        <v>1.7596330275229358E-3</v>
      </c>
      <c r="N80" s="260">
        <f>INDEX('Plant Operations'!$B$6:$T$62,MATCH(PS!$C80,'Plant Operations'!$B$6:$B$62,0),MATCH(PS!N$7,'Plant Operations'!$B$6:$T$6,0))</f>
        <v>1.7596330275229358E-3</v>
      </c>
      <c r="O80" s="260">
        <f>INDEX('Plant Operations'!$B$6:$T$62,MATCH(PS!$C80,'Plant Operations'!$B$6:$B$62,0),MATCH(PS!O$7,'Plant Operations'!$B$6:$T$6,0))</f>
        <v>5.0439077936333693E-3</v>
      </c>
      <c r="P80" s="260" t="e">
        <f>INDEX('Plant Operations'!$B$6:$T$62,MATCH(PS!$C80,'Plant Operations'!$B$6:$B$62,0),MATCH(PS!P$7,'Plant Operations'!$B$6:$T$6,0))</f>
        <v>#N/A</v>
      </c>
      <c r="Q80" s="216" t="s">
        <v>1025</v>
      </c>
    </row>
    <row r="81" spans="1:17" ht="15" customHeight="1" x14ac:dyDescent="0.25">
      <c r="A81">
        <f t="shared" si="15"/>
        <v>78</v>
      </c>
      <c r="B81" t="str">
        <f t="shared" si="13"/>
        <v>chlor_wat</v>
      </c>
      <c r="C81" s="218" t="s">
        <v>522</v>
      </c>
      <c r="D81" s="215">
        <f t="shared" si="14"/>
        <v>7.0386266094420596E-13</v>
      </c>
      <c r="E81" s="260">
        <f>INDEX('Plant Operations'!$B$6:$T$62,MATCH(PS!$C81,'Plant Operations'!$B$6:$B$62,0),MATCH(PS!E$7,'Plant Operations'!$B$6:$T$6,0))</f>
        <v>7.0386266094420596E-13</v>
      </c>
      <c r="F81" s="260">
        <f>INDEX('Plant Operations'!$B$6:$T$62,MATCH(PS!$C81,'Plant Operations'!$B$6:$B$62,0),MATCH(PS!F$7,'Plant Operations'!$B$6:$T$6,0))</f>
        <v>7.0386266094420596E-13</v>
      </c>
      <c r="G81" s="260">
        <f>INDEX('Plant Operations'!$B$6:$T$62,MATCH(PS!$C81,'Plant Operations'!$B$6:$B$62,0),MATCH(PS!G$7,'Plant Operations'!$B$6:$T$6,0))</f>
        <v>7.0386266094420596E-13</v>
      </c>
      <c r="H81" s="260">
        <f>INDEX('Plant Operations'!$B$6:$T$62,MATCH(PS!$C81,'Plant Operations'!$B$6:$B$62,0),MATCH(PS!H$7,'Plant Operations'!$B$6:$T$6,0))</f>
        <v>1.3229357798165136E-12</v>
      </c>
      <c r="I81" s="260">
        <f>INDEX('Plant Operations'!$B$6:$T$62,MATCH(PS!$C81,'Plant Operations'!$B$6:$B$62,0),MATCH(PS!I$7,'Plant Operations'!$B$6:$T$6,0))</f>
        <v>1.3229357798165136E-12</v>
      </c>
      <c r="J81" s="260">
        <f>INDEX('Plant Operations'!$B$6:$T$62,MATCH(PS!$C81,'Plant Operations'!$B$6:$B$62,0),MATCH(PS!J$7,'Plant Operations'!$B$6:$T$6,0))</f>
        <v>1.3229357798165136E-12</v>
      </c>
      <c r="K81" s="260">
        <f>INDEX('Plant Operations'!$B$6:$T$62,MATCH(PS!$C81,'Plant Operations'!$B$6:$B$62,0),MATCH(PS!K$7,'Plant Operations'!$B$6:$T$6,0))</f>
        <v>1.3229357798165136E-12</v>
      </c>
      <c r="L81" s="260">
        <f>INDEX('Plant Operations'!$B$6:$T$62,MATCH(PS!$C81,'Plant Operations'!$B$6:$B$62,0),MATCH(PS!L$7,'Plant Operations'!$B$6:$T$6,0))</f>
        <v>1.3229357798165136E-12</v>
      </c>
      <c r="M81" s="260">
        <f>INDEX('Plant Operations'!$B$6:$T$62,MATCH(PS!$C81,'Plant Operations'!$B$6:$B$62,0),MATCH(PS!M$7,'Plant Operations'!$B$6:$T$6,0))</f>
        <v>1.3229357798165136E-12</v>
      </c>
      <c r="N81" s="260">
        <f>INDEX('Plant Operations'!$B$6:$T$62,MATCH(PS!$C81,'Plant Operations'!$B$6:$B$62,0),MATCH(PS!N$7,'Plant Operations'!$B$6:$T$6,0))</f>
        <v>1.3229357798165136E-12</v>
      </c>
      <c r="O81" s="260">
        <f>INDEX('Plant Operations'!$B$6:$T$62,MATCH(PS!$C81,'Plant Operations'!$B$6:$B$62,0),MATCH(PS!O$7,'Plant Operations'!$B$6:$T$6,0))</f>
        <v>0</v>
      </c>
      <c r="P81" s="260" t="e">
        <f>INDEX('Plant Operations'!$B$6:$T$62,MATCH(PS!$C81,'Plant Operations'!$B$6:$B$62,0),MATCH(PS!P$7,'Plant Operations'!$B$6:$T$6,0))</f>
        <v>#N/A</v>
      </c>
      <c r="Q81" s="216" t="s">
        <v>874</v>
      </c>
    </row>
    <row r="82" spans="1:17" ht="15" customHeight="1" x14ac:dyDescent="0.25">
      <c r="A82">
        <f t="shared" si="15"/>
        <v>79</v>
      </c>
      <c r="B82" t="str">
        <f t="shared" si="13"/>
        <v>cu_to_wat</v>
      </c>
      <c r="C82" s="218" t="s">
        <v>523</v>
      </c>
      <c r="D82" s="215">
        <f t="shared" si="14"/>
        <v>3.5236051502145926E-12</v>
      </c>
      <c r="E82" s="260">
        <f>INDEX('Plant Operations'!$B$6:$T$62,MATCH(PS!$C82,'Plant Operations'!$B$6:$B$62,0),MATCH(PS!E$7,'Plant Operations'!$B$6:$T$6,0))</f>
        <v>3.5236051502145926E-12</v>
      </c>
      <c r="F82" s="260">
        <f>INDEX('Plant Operations'!$B$6:$T$62,MATCH(PS!$C82,'Plant Operations'!$B$6:$B$62,0),MATCH(PS!F$7,'Plant Operations'!$B$6:$T$6,0))</f>
        <v>3.5236051502145926E-12</v>
      </c>
      <c r="G82" s="260">
        <f>INDEX('Plant Operations'!$B$6:$T$62,MATCH(PS!$C82,'Plant Operations'!$B$6:$B$62,0),MATCH(PS!G$7,'Plant Operations'!$B$6:$T$6,0))</f>
        <v>3.5236051502145926E-12</v>
      </c>
      <c r="H82" s="260">
        <f>INDEX('Plant Operations'!$B$6:$T$62,MATCH(PS!$C82,'Plant Operations'!$B$6:$B$62,0),MATCH(PS!H$7,'Plant Operations'!$B$6:$T$6,0))</f>
        <v>6.6360856269113144E-12</v>
      </c>
      <c r="I82" s="260">
        <f>INDEX('Plant Operations'!$B$6:$T$62,MATCH(PS!$C82,'Plant Operations'!$B$6:$B$62,0),MATCH(PS!I$7,'Plant Operations'!$B$6:$T$6,0))</f>
        <v>6.6360856269113144E-12</v>
      </c>
      <c r="J82" s="260">
        <f>INDEX('Plant Operations'!$B$6:$T$62,MATCH(PS!$C82,'Plant Operations'!$B$6:$B$62,0),MATCH(PS!J$7,'Plant Operations'!$B$6:$T$6,0))</f>
        <v>6.6360856269113144E-12</v>
      </c>
      <c r="K82" s="260">
        <f>INDEX('Plant Operations'!$B$6:$T$62,MATCH(PS!$C82,'Plant Operations'!$B$6:$B$62,0),MATCH(PS!K$7,'Plant Operations'!$B$6:$T$6,0))</f>
        <v>6.6360856269113144E-12</v>
      </c>
      <c r="L82" s="260">
        <f>INDEX('Plant Operations'!$B$6:$T$62,MATCH(PS!$C82,'Plant Operations'!$B$6:$B$62,0),MATCH(PS!L$7,'Plant Operations'!$B$6:$T$6,0))</f>
        <v>6.6360856269113144E-12</v>
      </c>
      <c r="M82" s="260">
        <f>INDEX('Plant Operations'!$B$6:$T$62,MATCH(PS!$C82,'Plant Operations'!$B$6:$B$62,0),MATCH(PS!M$7,'Plant Operations'!$B$6:$T$6,0))</f>
        <v>6.6360856269113144E-12</v>
      </c>
      <c r="N82" s="260">
        <f>INDEX('Plant Operations'!$B$6:$T$62,MATCH(PS!$C82,'Plant Operations'!$B$6:$B$62,0),MATCH(PS!N$7,'Plant Operations'!$B$6:$T$6,0))</f>
        <v>6.6360856269113144E-12</v>
      </c>
      <c r="O82" s="260">
        <f>INDEX('Plant Operations'!$B$6:$T$62,MATCH(PS!$C82,'Plant Operations'!$B$6:$B$62,0),MATCH(PS!O$7,'Plant Operations'!$B$6:$T$6,0))</f>
        <v>0</v>
      </c>
      <c r="P82" s="260" t="e">
        <f>INDEX('Plant Operations'!$B$6:$T$62,MATCH(PS!$C82,'Plant Operations'!$B$6:$B$62,0),MATCH(PS!P$7,'Plant Operations'!$B$6:$T$6,0))</f>
        <v>#N/A</v>
      </c>
      <c r="Q82" s="216" t="s">
        <v>875</v>
      </c>
    </row>
    <row r="83" spans="1:17" ht="15" customHeight="1" x14ac:dyDescent="0.25">
      <c r="A83">
        <f t="shared" si="15"/>
        <v>80</v>
      </c>
      <c r="B83" t="str">
        <f t="shared" si="13"/>
        <v>Fe_to_wat</v>
      </c>
      <c r="C83" s="218" t="s">
        <v>524</v>
      </c>
      <c r="D83" s="215">
        <f t="shared" si="14"/>
        <v>3.5236051502145926E-12</v>
      </c>
      <c r="E83" s="260">
        <f>INDEX('Plant Operations'!$B$6:$T$62,MATCH(PS!$C83,'Plant Operations'!$B$6:$B$62,0),MATCH(PS!E$7,'Plant Operations'!$B$6:$T$6,0))</f>
        <v>3.5236051502145926E-12</v>
      </c>
      <c r="F83" s="260">
        <f>INDEX('Plant Operations'!$B$6:$T$62,MATCH(PS!$C83,'Plant Operations'!$B$6:$B$62,0),MATCH(PS!F$7,'Plant Operations'!$B$6:$T$6,0))</f>
        <v>3.5236051502145926E-12</v>
      </c>
      <c r="G83" s="260">
        <f>INDEX('Plant Operations'!$B$6:$T$62,MATCH(PS!$C83,'Plant Operations'!$B$6:$B$62,0),MATCH(PS!G$7,'Plant Operations'!$B$6:$T$6,0))</f>
        <v>3.5236051502145926E-12</v>
      </c>
      <c r="H83" s="260">
        <f>INDEX('Plant Operations'!$B$6:$T$62,MATCH(PS!$C83,'Plant Operations'!$B$6:$B$62,0),MATCH(PS!H$7,'Plant Operations'!$B$6:$T$6,0))</f>
        <v>6.6360856269113144E-12</v>
      </c>
      <c r="I83" s="260">
        <f>INDEX('Plant Operations'!$B$6:$T$62,MATCH(PS!$C83,'Plant Operations'!$B$6:$B$62,0),MATCH(PS!I$7,'Plant Operations'!$B$6:$T$6,0))</f>
        <v>6.6360856269113144E-12</v>
      </c>
      <c r="J83" s="260">
        <f>INDEX('Plant Operations'!$B$6:$T$62,MATCH(PS!$C83,'Plant Operations'!$B$6:$B$62,0),MATCH(PS!J$7,'Plant Operations'!$B$6:$T$6,0))</f>
        <v>6.6360856269113144E-12</v>
      </c>
      <c r="K83" s="260">
        <f>INDEX('Plant Operations'!$B$6:$T$62,MATCH(PS!$C83,'Plant Operations'!$B$6:$B$62,0),MATCH(PS!K$7,'Plant Operations'!$B$6:$T$6,0))</f>
        <v>6.6360856269113144E-12</v>
      </c>
      <c r="L83" s="260">
        <f>INDEX('Plant Operations'!$B$6:$T$62,MATCH(PS!$C83,'Plant Operations'!$B$6:$B$62,0),MATCH(PS!L$7,'Plant Operations'!$B$6:$T$6,0))</f>
        <v>6.6360856269113144E-12</v>
      </c>
      <c r="M83" s="260">
        <f>INDEX('Plant Operations'!$B$6:$T$62,MATCH(PS!$C83,'Plant Operations'!$B$6:$B$62,0),MATCH(PS!M$7,'Plant Operations'!$B$6:$T$6,0))</f>
        <v>6.6360856269113144E-12</v>
      </c>
      <c r="N83" s="260">
        <f>INDEX('Plant Operations'!$B$6:$T$62,MATCH(PS!$C83,'Plant Operations'!$B$6:$B$62,0),MATCH(PS!N$7,'Plant Operations'!$B$6:$T$6,0))</f>
        <v>6.6360856269113144E-12</v>
      </c>
      <c r="O83" s="260">
        <f>INDEX('Plant Operations'!$B$6:$T$62,MATCH(PS!$C83,'Plant Operations'!$B$6:$B$62,0),MATCH(PS!O$7,'Plant Operations'!$B$6:$T$6,0))</f>
        <v>0</v>
      </c>
      <c r="P83" s="260" t="e">
        <f>INDEX('Plant Operations'!$B$6:$T$62,MATCH(PS!$C83,'Plant Operations'!$B$6:$B$62,0),MATCH(PS!P$7,'Plant Operations'!$B$6:$T$6,0))</f>
        <v>#N/A</v>
      </c>
      <c r="Q83" s="216" t="s">
        <v>876</v>
      </c>
    </row>
    <row r="84" spans="1:17" ht="15" customHeight="1" x14ac:dyDescent="0.25">
      <c r="A84">
        <f t="shared" si="15"/>
        <v>81</v>
      </c>
      <c r="B84" t="str">
        <f t="shared" si="13"/>
        <v>oil_to_wat</v>
      </c>
      <c r="C84" s="218" t="s">
        <v>525</v>
      </c>
      <c r="D84" s="215">
        <f t="shared" si="14"/>
        <v>5.2789699570815453E-11</v>
      </c>
      <c r="E84" s="260">
        <f>INDEX('Plant Operations'!$B$6:$T$62,MATCH(PS!$C84,'Plant Operations'!$B$6:$B$62,0),MATCH(PS!E$7,'Plant Operations'!$B$6:$T$6,0))</f>
        <v>5.2789699570815453E-11</v>
      </c>
      <c r="F84" s="260">
        <f>INDEX('Plant Operations'!$B$6:$T$62,MATCH(PS!$C84,'Plant Operations'!$B$6:$B$62,0),MATCH(PS!F$7,'Plant Operations'!$B$6:$T$6,0))</f>
        <v>5.2789699570815453E-11</v>
      </c>
      <c r="G84" s="260">
        <f>INDEX('Plant Operations'!$B$6:$T$62,MATCH(PS!$C84,'Plant Operations'!$B$6:$B$62,0),MATCH(PS!G$7,'Plant Operations'!$B$6:$T$6,0))</f>
        <v>5.2789699570815453E-11</v>
      </c>
      <c r="H84" s="260">
        <f>INDEX('Plant Operations'!$B$6:$T$62,MATCH(PS!$C84,'Plant Operations'!$B$6:$B$62,0),MATCH(PS!H$7,'Plant Operations'!$B$6:$T$6,0))</f>
        <v>9.9327217125382277E-11</v>
      </c>
      <c r="I84" s="260">
        <f>INDEX('Plant Operations'!$B$6:$T$62,MATCH(PS!$C84,'Plant Operations'!$B$6:$B$62,0),MATCH(PS!I$7,'Plant Operations'!$B$6:$T$6,0))</f>
        <v>9.9327217125382277E-11</v>
      </c>
      <c r="J84" s="260">
        <f>INDEX('Plant Operations'!$B$6:$T$62,MATCH(PS!$C84,'Plant Operations'!$B$6:$B$62,0),MATCH(PS!J$7,'Plant Operations'!$B$6:$T$6,0))</f>
        <v>9.9327217125382277E-11</v>
      </c>
      <c r="K84" s="260">
        <f>INDEX('Plant Operations'!$B$6:$T$62,MATCH(PS!$C84,'Plant Operations'!$B$6:$B$62,0),MATCH(PS!K$7,'Plant Operations'!$B$6:$T$6,0))</f>
        <v>9.9327217125382277E-11</v>
      </c>
      <c r="L84" s="260">
        <f>INDEX('Plant Operations'!$B$6:$T$62,MATCH(PS!$C84,'Plant Operations'!$B$6:$B$62,0),MATCH(PS!L$7,'Plant Operations'!$B$6:$T$6,0))</f>
        <v>9.9327217125382277E-11</v>
      </c>
      <c r="M84" s="260">
        <f>INDEX('Plant Operations'!$B$6:$T$62,MATCH(PS!$C84,'Plant Operations'!$B$6:$B$62,0),MATCH(PS!M$7,'Plant Operations'!$B$6:$T$6,0))</f>
        <v>9.9327217125382277E-11</v>
      </c>
      <c r="N84" s="260">
        <f>INDEX('Plant Operations'!$B$6:$T$62,MATCH(PS!$C84,'Plant Operations'!$B$6:$B$62,0),MATCH(PS!N$7,'Plant Operations'!$B$6:$T$6,0))</f>
        <v>9.9327217125382277E-11</v>
      </c>
      <c r="O84" s="260">
        <f>INDEX('Plant Operations'!$B$6:$T$62,MATCH(PS!$C84,'Plant Operations'!$B$6:$B$62,0),MATCH(PS!O$7,'Plant Operations'!$B$6:$T$6,0))</f>
        <v>0</v>
      </c>
      <c r="P84" s="260" t="e">
        <f>INDEX('Plant Operations'!$B$6:$T$62,MATCH(PS!$C84,'Plant Operations'!$B$6:$B$62,0),MATCH(PS!P$7,'Plant Operations'!$B$6:$T$6,0))</f>
        <v>#N/A</v>
      </c>
      <c r="Q84" s="216" t="s">
        <v>877</v>
      </c>
    </row>
    <row r="85" spans="1:17" ht="15" customHeight="1" x14ac:dyDescent="0.25">
      <c r="A85">
        <f t="shared" si="15"/>
        <v>82</v>
      </c>
      <c r="B85" t="str">
        <f t="shared" si="13"/>
        <v>SS_to_wat</v>
      </c>
      <c r="C85" s="218" t="s">
        <v>526</v>
      </c>
      <c r="D85" s="215">
        <f t="shared" si="14"/>
        <v>1.0557939914163091E-10</v>
      </c>
      <c r="E85" s="260">
        <f>INDEX('Plant Operations'!$B$6:$T$62,MATCH(PS!$C85,'Plant Operations'!$B$6:$B$62,0),MATCH(PS!E$7,'Plant Operations'!$B$6:$T$6,0))</f>
        <v>1.0557939914163091E-10</v>
      </c>
      <c r="F85" s="260">
        <f>INDEX('Plant Operations'!$B$6:$T$62,MATCH(PS!$C85,'Plant Operations'!$B$6:$B$62,0),MATCH(PS!F$7,'Plant Operations'!$B$6:$T$6,0))</f>
        <v>1.0557939914163091E-10</v>
      </c>
      <c r="G85" s="260">
        <f>INDEX('Plant Operations'!$B$6:$T$62,MATCH(PS!$C85,'Plant Operations'!$B$6:$B$62,0),MATCH(PS!G$7,'Plant Operations'!$B$6:$T$6,0))</f>
        <v>1.0557939914163091E-10</v>
      </c>
      <c r="H85" s="260">
        <f>INDEX('Plant Operations'!$B$6:$T$62,MATCH(PS!$C85,'Plant Operations'!$B$6:$B$62,0),MATCH(PS!H$7,'Plant Operations'!$B$6:$T$6,0))</f>
        <v>1.9865443425076455E-10</v>
      </c>
      <c r="I85" s="260">
        <f>INDEX('Plant Operations'!$B$6:$T$62,MATCH(PS!$C85,'Plant Operations'!$B$6:$B$62,0),MATCH(PS!I$7,'Plant Operations'!$B$6:$T$6,0))</f>
        <v>1.9865443425076455E-10</v>
      </c>
      <c r="J85" s="260">
        <f>INDEX('Plant Operations'!$B$6:$T$62,MATCH(PS!$C85,'Plant Operations'!$B$6:$B$62,0),MATCH(PS!J$7,'Plant Operations'!$B$6:$T$6,0))</f>
        <v>1.9865443425076455E-10</v>
      </c>
      <c r="K85" s="260">
        <f>INDEX('Plant Operations'!$B$6:$T$62,MATCH(PS!$C85,'Plant Operations'!$B$6:$B$62,0),MATCH(PS!K$7,'Plant Operations'!$B$6:$T$6,0))</f>
        <v>1.9865443425076455E-10</v>
      </c>
      <c r="L85" s="260">
        <f>INDEX('Plant Operations'!$B$6:$T$62,MATCH(PS!$C85,'Plant Operations'!$B$6:$B$62,0),MATCH(PS!L$7,'Plant Operations'!$B$6:$T$6,0))</f>
        <v>1.9865443425076455E-10</v>
      </c>
      <c r="M85" s="260">
        <f>INDEX('Plant Operations'!$B$6:$T$62,MATCH(PS!$C85,'Plant Operations'!$B$6:$B$62,0),MATCH(PS!M$7,'Plant Operations'!$B$6:$T$6,0))</f>
        <v>1.9865443425076455E-10</v>
      </c>
      <c r="N85" s="260">
        <f>INDEX('Plant Operations'!$B$6:$T$62,MATCH(PS!$C85,'Plant Operations'!$B$6:$B$62,0),MATCH(PS!N$7,'Plant Operations'!$B$6:$T$6,0))</f>
        <v>1.9865443425076455E-10</v>
      </c>
      <c r="O85" s="260">
        <f>INDEX('Plant Operations'!$B$6:$T$62,MATCH(PS!$C85,'Plant Operations'!$B$6:$B$62,0),MATCH(PS!O$7,'Plant Operations'!$B$6:$T$6,0))</f>
        <v>0</v>
      </c>
      <c r="P85" s="260" t="e">
        <f>INDEX('Plant Operations'!$B$6:$T$62,MATCH(PS!$C85,'Plant Operations'!$B$6:$B$62,0),MATCH(PS!P$7,'Plant Operations'!$B$6:$T$6,0))</f>
        <v>#N/A</v>
      </c>
      <c r="Q85" s="216" t="s">
        <v>878</v>
      </c>
    </row>
    <row r="86" spans="1:17" ht="15" customHeight="1" x14ac:dyDescent="0.25">
      <c r="A86">
        <f t="shared" si="15"/>
        <v>83</v>
      </c>
      <c r="B86" t="str">
        <f t="shared" si="13"/>
        <v>water_out</v>
      </c>
      <c r="C86" s="218" t="s">
        <v>527</v>
      </c>
      <c r="D86" s="215">
        <f t="shared" si="14"/>
        <v>0.21416309012875537</v>
      </c>
      <c r="E86" s="260">
        <f>INDEX('Plant Operations'!$B$6:$T$62,MATCH(PS!$C86,'Plant Operations'!$B$6:$B$62,0),MATCH(PS!E$7,'Plant Operations'!$B$6:$T$6,0))</f>
        <v>0.21416309012875537</v>
      </c>
      <c r="F86" s="260">
        <f>INDEX('Plant Operations'!$B$6:$T$62,MATCH(PS!$C86,'Plant Operations'!$B$6:$B$62,0),MATCH(PS!F$7,'Plant Operations'!$B$6:$T$6,0))</f>
        <v>0.21416309012875537</v>
      </c>
      <c r="G86" s="260">
        <f>INDEX('Plant Operations'!$B$6:$T$62,MATCH(PS!$C86,'Plant Operations'!$B$6:$B$62,0),MATCH(PS!G$7,'Plant Operations'!$B$6:$T$6,0))</f>
        <v>0.21416309012875537</v>
      </c>
      <c r="H86" s="260">
        <f>INDEX('Plant Operations'!$B$6:$T$62,MATCH(PS!$C86,'Plant Operations'!$B$6:$B$62,0),MATCH(PS!H$7,'Plant Operations'!$B$6:$T$6,0))</f>
        <v>1.4899082568807341E-2</v>
      </c>
      <c r="I86" s="260">
        <f>INDEX('Plant Operations'!$B$6:$T$62,MATCH(PS!$C86,'Plant Operations'!$B$6:$B$62,0),MATCH(PS!I$7,'Plant Operations'!$B$6:$T$6,0))</f>
        <v>1.4899082568807341E-2</v>
      </c>
      <c r="J86" s="260">
        <f>INDEX('Plant Operations'!$B$6:$T$62,MATCH(PS!$C86,'Plant Operations'!$B$6:$B$62,0),MATCH(PS!J$7,'Plant Operations'!$B$6:$T$6,0))</f>
        <v>1.4899082568807341E-2</v>
      </c>
      <c r="K86" s="260">
        <f>INDEX('Plant Operations'!$B$6:$T$62,MATCH(PS!$C86,'Plant Operations'!$B$6:$B$62,0),MATCH(PS!K$7,'Plant Operations'!$B$6:$T$6,0))</f>
        <v>1.4899082568807341E-2</v>
      </c>
      <c r="L86" s="260">
        <f>INDEX('Plant Operations'!$B$6:$T$62,MATCH(PS!$C86,'Plant Operations'!$B$6:$B$62,0),MATCH(PS!L$7,'Plant Operations'!$B$6:$T$6,0))</f>
        <v>1.4899082568807341E-2</v>
      </c>
      <c r="M86" s="260">
        <f>INDEX('Plant Operations'!$B$6:$T$62,MATCH(PS!$C86,'Plant Operations'!$B$6:$B$62,0),MATCH(PS!M$7,'Plant Operations'!$B$6:$T$6,0))</f>
        <v>1.4899082568807341E-2</v>
      </c>
      <c r="N86" s="260">
        <f>INDEX('Plant Operations'!$B$6:$T$62,MATCH(PS!$C86,'Plant Operations'!$B$6:$B$62,0),MATCH(PS!N$7,'Plant Operations'!$B$6:$T$6,0))</f>
        <v>1.4899082568807341E-2</v>
      </c>
      <c r="O86" s="260">
        <f>INDEX('Plant Operations'!$B$6:$T$62,MATCH(PS!$C86,'Plant Operations'!$B$6:$B$62,0),MATCH(PS!O$7,'Plant Operations'!$B$6:$T$6,0))</f>
        <v>2.4807903402854006E-3</v>
      </c>
      <c r="P86" s="260" t="e">
        <f>INDEX('Plant Operations'!$B$6:$T$62,MATCH(PS!$C86,'Plant Operations'!$B$6:$B$62,0),MATCH(PS!P$7,'Plant Operations'!$B$6:$T$6,0))</f>
        <v>#N/A</v>
      </c>
      <c r="Q86" s="216" t="s">
        <v>879</v>
      </c>
    </row>
    <row r="87" spans="1:17" ht="15" customHeight="1" x14ac:dyDescent="0.25">
      <c r="A87">
        <f t="shared" si="15"/>
        <v>84</v>
      </c>
      <c r="B87" t="str">
        <f t="shared" si="13"/>
        <v>NH3_to_air</v>
      </c>
      <c r="C87" s="218" t="s">
        <v>528</v>
      </c>
      <c r="D87" s="215">
        <f t="shared" si="14"/>
        <v>1.489270386266094E-7</v>
      </c>
      <c r="E87" s="260">
        <f>INDEX('Plant Operations'!$B$6:$T$62,MATCH(PS!$C87,'Plant Operations'!$B$6:$B$62,0),MATCH(PS!E$7,'Plant Operations'!$B$6:$T$6,0))</f>
        <v>1.489270386266094E-7</v>
      </c>
      <c r="F87" s="260">
        <f>INDEX('Plant Operations'!$B$6:$T$62,MATCH(PS!$C87,'Plant Operations'!$B$6:$B$62,0),MATCH(PS!F$7,'Plant Operations'!$B$6:$T$6,0))</f>
        <v>1.489270386266094E-7</v>
      </c>
      <c r="G87" s="260">
        <f>INDEX('Plant Operations'!$B$6:$T$62,MATCH(PS!$C87,'Plant Operations'!$B$6:$B$62,0),MATCH(PS!G$7,'Plant Operations'!$B$6:$T$6,0))</f>
        <v>1.489270386266094E-7</v>
      </c>
      <c r="H87" s="260">
        <f>INDEX('Plant Operations'!$B$6:$T$62,MATCH(PS!$C87,'Plant Operations'!$B$6:$B$62,0),MATCH(PS!H$7,'Plant Operations'!$B$6:$T$6,0))</f>
        <v>7.6207951070336383E-12</v>
      </c>
      <c r="I87" s="260">
        <f>INDEX('Plant Operations'!$B$6:$T$62,MATCH(PS!$C87,'Plant Operations'!$B$6:$B$62,0),MATCH(PS!I$7,'Plant Operations'!$B$6:$T$6,0))</f>
        <v>7.6207951070336383E-12</v>
      </c>
      <c r="J87" s="260">
        <f>INDEX('Plant Operations'!$B$6:$T$62,MATCH(PS!$C87,'Plant Operations'!$B$6:$B$62,0),MATCH(PS!J$7,'Plant Operations'!$B$6:$T$6,0))</f>
        <v>7.6207951070336383E-12</v>
      </c>
      <c r="K87" s="260">
        <f>INDEX('Plant Operations'!$B$6:$T$62,MATCH(PS!$C87,'Plant Operations'!$B$6:$B$62,0),MATCH(PS!K$7,'Plant Operations'!$B$6:$T$6,0))</f>
        <v>7.6207951070336383E-12</v>
      </c>
      <c r="L87" s="260">
        <f>INDEX('Plant Operations'!$B$6:$T$62,MATCH(PS!$C87,'Plant Operations'!$B$6:$B$62,0),MATCH(PS!L$7,'Plant Operations'!$B$6:$T$6,0))</f>
        <v>7.6207951070336383E-12</v>
      </c>
      <c r="M87" s="260">
        <f>INDEX('Plant Operations'!$B$6:$T$62,MATCH(PS!$C87,'Plant Operations'!$B$6:$B$62,0),MATCH(PS!M$7,'Plant Operations'!$B$6:$T$6,0))</f>
        <v>7.6207951070336383E-12</v>
      </c>
      <c r="N87" s="260">
        <f>INDEX('Plant Operations'!$B$6:$T$62,MATCH(PS!$C87,'Plant Operations'!$B$6:$B$62,0),MATCH(PS!N$7,'Plant Operations'!$B$6:$T$6,0))</f>
        <v>7.6207951070336383E-12</v>
      </c>
      <c r="O87" s="260">
        <f>INDEX('Plant Operations'!$B$6:$T$62,MATCH(PS!$C87,'Plant Operations'!$B$6:$B$62,0),MATCH(PS!O$7,'Plant Operations'!$B$6:$T$6,0))</f>
        <v>8.7815587266739852E-11</v>
      </c>
      <c r="P87" s="260" t="e">
        <f>INDEX('Plant Operations'!$B$6:$T$62,MATCH(PS!$C87,'Plant Operations'!$B$6:$B$62,0),MATCH(PS!P$7,'Plant Operations'!$B$6:$T$6,0))</f>
        <v>#N/A</v>
      </c>
      <c r="Q87" s="216" t="s">
        <v>880</v>
      </c>
    </row>
    <row r="88" spans="1:17" ht="15" customHeight="1" x14ac:dyDescent="0.25">
      <c r="A88">
        <f t="shared" si="15"/>
        <v>85</v>
      </c>
      <c r="B88" t="str">
        <f t="shared" si="13"/>
        <v>As_to_air</v>
      </c>
      <c r="C88" s="218" t="s">
        <v>529</v>
      </c>
      <c r="D88" s="215">
        <f t="shared" si="14"/>
        <v>1.6609442060085837E-10</v>
      </c>
      <c r="E88" s="260">
        <f>INDEX('Plant Operations'!$B$6:$T$62,MATCH(PS!$C88,'Plant Operations'!$B$6:$B$62,0),MATCH(PS!E$7,'Plant Operations'!$B$6:$T$6,0))</f>
        <v>1.6609442060085837E-10</v>
      </c>
      <c r="F88" s="260">
        <f>INDEX('Plant Operations'!$B$6:$T$62,MATCH(PS!$C88,'Plant Operations'!$B$6:$B$62,0),MATCH(PS!F$7,'Plant Operations'!$B$6:$T$6,0))</f>
        <v>1.6609442060085837E-10</v>
      </c>
      <c r="G88" s="260">
        <f>INDEX('Plant Operations'!$B$6:$T$62,MATCH(PS!$C88,'Plant Operations'!$B$6:$B$62,0),MATCH(PS!G$7,'Plant Operations'!$B$6:$T$6,0))</f>
        <v>1.6609442060085837E-10</v>
      </c>
      <c r="H88" s="260">
        <f>INDEX('Plant Operations'!$B$6:$T$62,MATCH(PS!$C88,'Plant Operations'!$B$6:$B$62,0),MATCH(PS!H$7,'Plant Operations'!$B$6:$T$6,0))</f>
        <v>1.6477064220183485E-10</v>
      </c>
      <c r="I88" s="260">
        <f>INDEX('Plant Operations'!$B$6:$T$62,MATCH(PS!$C88,'Plant Operations'!$B$6:$B$62,0),MATCH(PS!I$7,'Plant Operations'!$B$6:$T$6,0))</f>
        <v>1.6477064220183485E-10</v>
      </c>
      <c r="J88" s="260">
        <f>INDEX('Plant Operations'!$B$6:$T$62,MATCH(PS!$C88,'Plant Operations'!$B$6:$B$62,0),MATCH(PS!J$7,'Plant Operations'!$B$6:$T$6,0))</f>
        <v>1.6477064220183485E-10</v>
      </c>
      <c r="K88" s="260">
        <f>INDEX('Plant Operations'!$B$6:$T$62,MATCH(PS!$C88,'Plant Operations'!$B$6:$B$62,0),MATCH(PS!K$7,'Plant Operations'!$B$6:$T$6,0))</f>
        <v>1.6477064220183485E-10</v>
      </c>
      <c r="L88" s="260">
        <f>INDEX('Plant Operations'!$B$6:$T$62,MATCH(PS!$C88,'Plant Operations'!$B$6:$B$62,0),MATCH(PS!L$7,'Plant Operations'!$B$6:$T$6,0))</f>
        <v>1.6477064220183485E-10</v>
      </c>
      <c r="M88" s="260">
        <f>INDEX('Plant Operations'!$B$6:$T$62,MATCH(PS!$C88,'Plant Operations'!$B$6:$B$62,0),MATCH(PS!M$7,'Plant Operations'!$B$6:$T$6,0))</f>
        <v>1.6477064220183485E-10</v>
      </c>
      <c r="N88" s="260">
        <f>INDEX('Plant Operations'!$B$6:$T$62,MATCH(PS!$C88,'Plant Operations'!$B$6:$B$62,0),MATCH(PS!N$7,'Plant Operations'!$B$6:$T$6,0))</f>
        <v>1.6477064220183485E-10</v>
      </c>
      <c r="O88" s="260">
        <f>INDEX('Plant Operations'!$B$6:$T$62,MATCH(PS!$C88,'Plant Operations'!$B$6:$B$62,0),MATCH(PS!O$7,'Plant Operations'!$B$6:$T$6,0))</f>
        <v>1.5038419319429199E-10</v>
      </c>
      <c r="P88" s="260" t="e">
        <f>INDEX('Plant Operations'!$B$6:$T$62,MATCH(PS!$C88,'Plant Operations'!$B$6:$B$62,0),MATCH(PS!P$7,'Plant Operations'!$B$6:$T$6,0))</f>
        <v>#N/A</v>
      </c>
      <c r="Q88" s="216" t="s">
        <v>881</v>
      </c>
    </row>
    <row r="89" spans="1:17" ht="15" customHeight="1" x14ac:dyDescent="0.25">
      <c r="A89">
        <f t="shared" si="15"/>
        <v>86</v>
      </c>
      <c r="B89" t="str">
        <f t="shared" si="13"/>
        <v>Be_to_air</v>
      </c>
      <c r="C89" s="218" t="s">
        <v>530</v>
      </c>
      <c r="D89" s="215">
        <f t="shared" ref="D89:D120" si="16">HLOOKUP($D$4,$E$4:$P$221,A89,FALSE)</f>
        <v>1.8669527896995703E-11</v>
      </c>
      <c r="E89" s="260">
        <f>INDEX('Plant Operations'!$B$6:$T$62,MATCH(PS!$C89,'Plant Operations'!$B$6:$B$62,0),MATCH(PS!E$7,'Plant Operations'!$B$6:$T$6,0))</f>
        <v>1.8669527896995703E-11</v>
      </c>
      <c r="F89" s="260">
        <f>INDEX('Plant Operations'!$B$6:$T$62,MATCH(PS!$C89,'Plant Operations'!$B$6:$B$62,0),MATCH(PS!F$7,'Plant Operations'!$B$6:$T$6,0))</f>
        <v>1.8669527896995703E-11</v>
      </c>
      <c r="G89" s="260">
        <f>INDEX('Plant Operations'!$B$6:$T$62,MATCH(PS!$C89,'Plant Operations'!$B$6:$B$62,0),MATCH(PS!G$7,'Plant Operations'!$B$6:$T$6,0))</f>
        <v>1.8669527896995703E-11</v>
      </c>
      <c r="H89" s="260">
        <f>INDEX('Plant Operations'!$B$6:$T$62,MATCH(PS!$C89,'Plant Operations'!$B$6:$B$62,0),MATCH(PS!H$7,'Plant Operations'!$B$6:$T$6,0))</f>
        <v>2.2373088685015289E-11</v>
      </c>
      <c r="I89" s="260">
        <f>INDEX('Plant Operations'!$B$6:$T$62,MATCH(PS!$C89,'Plant Operations'!$B$6:$B$62,0),MATCH(PS!I$7,'Plant Operations'!$B$6:$T$6,0))</f>
        <v>2.2373088685015289E-11</v>
      </c>
      <c r="J89" s="260">
        <f>INDEX('Plant Operations'!$B$6:$T$62,MATCH(PS!$C89,'Plant Operations'!$B$6:$B$62,0),MATCH(PS!J$7,'Plant Operations'!$B$6:$T$6,0))</f>
        <v>2.2373088685015289E-11</v>
      </c>
      <c r="K89" s="260">
        <f>INDEX('Plant Operations'!$B$6:$T$62,MATCH(PS!$C89,'Plant Operations'!$B$6:$B$62,0),MATCH(PS!K$7,'Plant Operations'!$B$6:$T$6,0))</f>
        <v>2.2373088685015289E-11</v>
      </c>
      <c r="L89" s="260">
        <f>INDEX('Plant Operations'!$B$6:$T$62,MATCH(PS!$C89,'Plant Operations'!$B$6:$B$62,0),MATCH(PS!L$7,'Plant Operations'!$B$6:$T$6,0))</f>
        <v>2.2373088685015289E-11</v>
      </c>
      <c r="M89" s="260">
        <f>INDEX('Plant Operations'!$B$6:$T$62,MATCH(PS!$C89,'Plant Operations'!$B$6:$B$62,0),MATCH(PS!M$7,'Plant Operations'!$B$6:$T$6,0))</f>
        <v>2.2373088685015289E-11</v>
      </c>
      <c r="N89" s="260">
        <f>INDEX('Plant Operations'!$B$6:$T$62,MATCH(PS!$C89,'Plant Operations'!$B$6:$B$62,0),MATCH(PS!N$7,'Plant Operations'!$B$6:$T$6,0))</f>
        <v>2.2373088685015289E-11</v>
      </c>
      <c r="O89" s="260">
        <f>INDEX('Plant Operations'!$B$6:$T$62,MATCH(PS!$C89,'Plant Operations'!$B$6:$B$62,0),MATCH(PS!O$7,'Plant Operations'!$B$6:$T$6,0))</f>
        <v>1.2678375411635564E-11</v>
      </c>
      <c r="P89" s="260" t="e">
        <f>INDEX('Plant Operations'!$B$6:$T$62,MATCH(PS!$C89,'Plant Operations'!$B$6:$B$62,0),MATCH(PS!P$7,'Plant Operations'!$B$6:$T$6,0))</f>
        <v>#N/A</v>
      </c>
      <c r="Q89" s="216" t="s">
        <v>882</v>
      </c>
    </row>
    <row r="90" spans="1:17" ht="15" customHeight="1" x14ac:dyDescent="0.25">
      <c r="A90">
        <f t="shared" si="15"/>
        <v>87</v>
      </c>
      <c r="B90" t="str">
        <f t="shared" ref="B90:B144" si="17">RIGHT(C90,LEN(C90)-3)</f>
        <v>Cd_to_air</v>
      </c>
      <c r="C90" s="218" t="s">
        <v>531</v>
      </c>
      <c r="D90" s="215">
        <f t="shared" si="16"/>
        <v>8.3977110157367676E-11</v>
      </c>
      <c r="E90" s="260">
        <f>INDEX('Plant Operations'!$B$6:$T$62,MATCH(PS!$C90,'Plant Operations'!$B$6:$B$62,0),MATCH(PS!E$7,'Plant Operations'!$B$6:$T$6,0))</f>
        <v>8.3977110157367676E-11</v>
      </c>
      <c r="F90" s="260">
        <f>INDEX('Plant Operations'!$B$6:$T$62,MATCH(PS!$C90,'Plant Operations'!$B$6:$B$62,0),MATCH(PS!F$7,'Plant Operations'!$B$6:$T$6,0))</f>
        <v>8.3977110157367676E-11</v>
      </c>
      <c r="G90" s="260">
        <f>INDEX('Plant Operations'!$B$6:$T$62,MATCH(PS!$C90,'Plant Operations'!$B$6:$B$62,0),MATCH(PS!G$7,'Plant Operations'!$B$6:$T$6,0))</f>
        <v>8.3977110157367676E-11</v>
      </c>
      <c r="H90" s="260">
        <f>INDEX('Plant Operations'!$B$6:$T$62,MATCH(PS!$C90,'Plant Operations'!$B$6:$B$62,0),MATCH(PS!H$7,'Plant Operations'!$B$6:$T$6,0))</f>
        <v>3.0360856269113152E-11</v>
      </c>
      <c r="I90" s="260">
        <f>INDEX('Plant Operations'!$B$6:$T$62,MATCH(PS!$C90,'Plant Operations'!$B$6:$B$62,0),MATCH(PS!I$7,'Plant Operations'!$B$6:$T$6,0))</f>
        <v>3.0360856269113152E-11</v>
      </c>
      <c r="J90" s="260">
        <f>INDEX('Plant Operations'!$B$6:$T$62,MATCH(PS!$C90,'Plant Operations'!$B$6:$B$62,0),MATCH(PS!J$7,'Plant Operations'!$B$6:$T$6,0))</f>
        <v>3.0360856269113152E-11</v>
      </c>
      <c r="K90" s="260">
        <f>INDEX('Plant Operations'!$B$6:$T$62,MATCH(PS!$C90,'Plant Operations'!$B$6:$B$62,0),MATCH(PS!K$7,'Plant Operations'!$B$6:$T$6,0))</f>
        <v>3.0360856269113152E-11</v>
      </c>
      <c r="L90" s="260">
        <f>INDEX('Plant Operations'!$B$6:$T$62,MATCH(PS!$C90,'Plant Operations'!$B$6:$B$62,0),MATCH(PS!L$7,'Plant Operations'!$B$6:$T$6,0))</f>
        <v>3.0360856269113152E-11</v>
      </c>
      <c r="M90" s="260">
        <f>INDEX('Plant Operations'!$B$6:$T$62,MATCH(PS!$C90,'Plant Operations'!$B$6:$B$62,0),MATCH(PS!M$7,'Plant Operations'!$B$6:$T$6,0))</f>
        <v>3.0360856269113152E-11</v>
      </c>
      <c r="N90" s="260">
        <f>INDEX('Plant Operations'!$B$6:$T$62,MATCH(PS!$C90,'Plant Operations'!$B$6:$B$62,0),MATCH(PS!N$7,'Plant Operations'!$B$6:$T$6,0))</f>
        <v>3.0360856269113152E-11</v>
      </c>
      <c r="O90" s="260">
        <f>INDEX('Plant Operations'!$B$6:$T$62,MATCH(PS!$C90,'Plant Operations'!$B$6:$B$62,0),MATCH(PS!O$7,'Plant Operations'!$B$6:$T$6,0))</f>
        <v>4.034028540065862E-11</v>
      </c>
      <c r="P90" s="260" t="e">
        <f>INDEX('Plant Operations'!$B$6:$T$62,MATCH(PS!$C90,'Plant Operations'!$B$6:$B$62,0),MATCH(PS!P$7,'Plant Operations'!$B$6:$T$6,0))</f>
        <v>#N/A</v>
      </c>
      <c r="Q90" s="216" t="s">
        <v>883</v>
      </c>
    </row>
    <row r="91" spans="1:17" ht="15" customHeight="1" x14ac:dyDescent="0.25">
      <c r="A91">
        <f t="shared" si="15"/>
        <v>88</v>
      </c>
      <c r="B91" t="str">
        <f t="shared" si="17"/>
        <v>CO2_to_air</v>
      </c>
      <c r="C91" s="218" t="s">
        <v>532</v>
      </c>
      <c r="D91" s="215">
        <f t="shared" si="16"/>
        <v>1.0643776824034334E-2</v>
      </c>
      <c r="E91" s="260">
        <f>INDEX('Plant Operations'!$B$6:$T$62,MATCH(PS!$C91,'Plant Operations'!$B$6:$B$62,0),MATCH(PS!E$7,'Plant Operations'!$B$6:$T$6,0))</f>
        <v>1.0643776824034334E-2</v>
      </c>
      <c r="F91" s="260">
        <f>INDEX('Plant Operations'!$B$6:$T$62,MATCH(PS!$C91,'Plant Operations'!$B$6:$B$62,0),MATCH(PS!F$7,'Plant Operations'!$B$6:$T$6,0))</f>
        <v>1.0643776824034334E-2</v>
      </c>
      <c r="G91" s="260">
        <f>INDEX('Plant Operations'!$B$6:$T$62,MATCH(PS!$C91,'Plant Operations'!$B$6:$B$62,0),MATCH(PS!G$7,'Plant Operations'!$B$6:$T$6,0))</f>
        <v>1.0643776824034334E-2</v>
      </c>
      <c r="H91" s="260">
        <f>INDEX('Plant Operations'!$B$6:$T$62,MATCH(PS!$C91,'Plant Operations'!$B$6:$B$62,0),MATCH(PS!H$7,'Plant Operations'!$B$6:$T$6,0))</f>
        <v>7.5351681957186542E-4</v>
      </c>
      <c r="I91" s="260">
        <f>INDEX('Plant Operations'!$B$6:$T$62,MATCH(PS!$C91,'Plant Operations'!$B$6:$B$62,0),MATCH(PS!I$7,'Plant Operations'!$B$6:$T$6,0))</f>
        <v>7.5351681957186542E-4</v>
      </c>
      <c r="J91" s="260">
        <f>INDEX('Plant Operations'!$B$6:$T$62,MATCH(PS!$C91,'Plant Operations'!$B$6:$B$62,0),MATCH(PS!J$7,'Plant Operations'!$B$6:$T$6,0))</f>
        <v>7.5351681957186542E-4</v>
      </c>
      <c r="K91" s="260">
        <f>INDEX('Plant Operations'!$B$6:$T$62,MATCH(PS!$C91,'Plant Operations'!$B$6:$B$62,0),MATCH(PS!K$7,'Plant Operations'!$B$6:$T$6,0))</f>
        <v>7.5351681957186542E-4</v>
      </c>
      <c r="L91" s="260">
        <f>INDEX('Plant Operations'!$B$6:$T$62,MATCH(PS!$C91,'Plant Operations'!$B$6:$B$62,0),MATCH(PS!L$7,'Plant Operations'!$B$6:$T$6,0))</f>
        <v>7.5351681957186542E-4</v>
      </c>
      <c r="M91" s="260">
        <f>INDEX('Plant Operations'!$B$6:$T$62,MATCH(PS!$C91,'Plant Operations'!$B$6:$B$62,0),MATCH(PS!M$7,'Plant Operations'!$B$6:$T$6,0))</f>
        <v>7.5351681957186542E-4</v>
      </c>
      <c r="N91" s="260">
        <f>INDEX('Plant Operations'!$B$6:$T$62,MATCH(PS!$C91,'Plant Operations'!$B$6:$B$62,0),MATCH(PS!N$7,'Plant Operations'!$B$6:$T$6,0))</f>
        <v>7.5351681957186542E-4</v>
      </c>
      <c r="O91" s="260">
        <f>INDEX('Plant Operations'!$B$6:$T$62,MATCH(PS!$C91,'Plant Operations'!$B$6:$B$62,0),MATCH(PS!O$7,'Plant Operations'!$B$6:$T$6,0))</f>
        <v>4.3468715697036224E-3</v>
      </c>
      <c r="P91" s="260" t="e">
        <f>INDEX('Plant Operations'!$B$6:$T$62,MATCH(PS!$C91,'Plant Operations'!$B$6:$B$62,0),MATCH(PS!P$7,'Plant Operations'!$B$6:$T$6,0))</f>
        <v>#N/A</v>
      </c>
      <c r="Q91" s="216" t="s">
        <v>884</v>
      </c>
    </row>
    <row r="92" spans="1:17" ht="15" customHeight="1" x14ac:dyDescent="0.25">
      <c r="A92">
        <f t="shared" si="15"/>
        <v>89</v>
      </c>
      <c r="B92" t="str">
        <f t="shared" si="17"/>
        <v>CO_to_air</v>
      </c>
      <c r="C92" s="218" t="s">
        <v>533</v>
      </c>
      <c r="D92" s="215">
        <f t="shared" si="16"/>
        <v>3.9098712446351931E-5</v>
      </c>
      <c r="E92" s="260">
        <f>INDEX('Plant Operations'!$B$6:$T$62,MATCH(PS!$C92,'Plant Operations'!$B$6:$B$62,0),MATCH(PS!E$7,'Plant Operations'!$B$6:$T$6,0))</f>
        <v>3.9098712446351931E-5</v>
      </c>
      <c r="F92" s="260">
        <f>INDEX('Plant Operations'!$B$6:$T$62,MATCH(PS!$C92,'Plant Operations'!$B$6:$B$62,0),MATCH(PS!F$7,'Plant Operations'!$B$6:$T$6,0))</f>
        <v>3.9098712446351931E-5</v>
      </c>
      <c r="G92" s="260">
        <f>INDEX('Plant Operations'!$B$6:$T$62,MATCH(PS!$C92,'Plant Operations'!$B$6:$B$62,0),MATCH(PS!G$7,'Plant Operations'!$B$6:$T$6,0))</f>
        <v>3.9098712446351931E-5</v>
      </c>
      <c r="H92" s="260">
        <f>INDEX('Plant Operations'!$B$6:$T$62,MATCH(PS!$C92,'Plant Operations'!$B$6:$B$62,0),MATCH(PS!H$7,'Plant Operations'!$B$6:$T$6,0))</f>
        <v>2.8214067278287461E-7</v>
      </c>
      <c r="I92" s="260">
        <f>INDEX('Plant Operations'!$B$6:$T$62,MATCH(PS!$C92,'Plant Operations'!$B$6:$B$62,0),MATCH(PS!I$7,'Plant Operations'!$B$6:$T$6,0))</f>
        <v>2.8214067278287461E-7</v>
      </c>
      <c r="J92" s="260">
        <f>INDEX('Plant Operations'!$B$6:$T$62,MATCH(PS!$C92,'Plant Operations'!$B$6:$B$62,0),MATCH(PS!J$7,'Plant Operations'!$B$6:$T$6,0))</f>
        <v>2.8214067278287461E-7</v>
      </c>
      <c r="K92" s="260">
        <f>INDEX('Plant Operations'!$B$6:$T$62,MATCH(PS!$C92,'Plant Operations'!$B$6:$B$62,0),MATCH(PS!K$7,'Plant Operations'!$B$6:$T$6,0))</f>
        <v>2.8214067278287461E-7</v>
      </c>
      <c r="L92" s="260">
        <f>INDEX('Plant Operations'!$B$6:$T$62,MATCH(PS!$C92,'Plant Operations'!$B$6:$B$62,0),MATCH(PS!L$7,'Plant Operations'!$B$6:$T$6,0))</f>
        <v>2.8214067278287461E-7</v>
      </c>
      <c r="M92" s="260">
        <f>INDEX('Plant Operations'!$B$6:$T$62,MATCH(PS!$C92,'Plant Operations'!$B$6:$B$62,0),MATCH(PS!M$7,'Plant Operations'!$B$6:$T$6,0))</f>
        <v>2.8214067278287461E-7</v>
      </c>
      <c r="N92" s="260">
        <f>INDEX('Plant Operations'!$B$6:$T$62,MATCH(PS!$C92,'Plant Operations'!$B$6:$B$62,0),MATCH(PS!N$7,'Plant Operations'!$B$6:$T$6,0))</f>
        <v>2.8214067278287461E-7</v>
      </c>
      <c r="O92" s="260">
        <f>INDEX('Plant Operations'!$B$6:$T$62,MATCH(PS!$C92,'Plant Operations'!$B$6:$B$62,0),MATCH(PS!O$7,'Plant Operations'!$B$6:$T$6,0))</f>
        <v>2.9967069154774969E-6</v>
      </c>
      <c r="P92" s="260" t="e">
        <f>INDEX('Plant Operations'!$B$6:$T$62,MATCH(PS!$C92,'Plant Operations'!$B$6:$B$62,0),MATCH(PS!P$7,'Plant Operations'!$B$6:$T$6,0))</f>
        <v>#N/A</v>
      </c>
      <c r="Q92" s="216" t="s">
        <v>885</v>
      </c>
    </row>
    <row r="93" spans="1:17" ht="15" customHeight="1" x14ac:dyDescent="0.25">
      <c r="A93">
        <f t="shared" si="15"/>
        <v>90</v>
      </c>
      <c r="B93" t="str">
        <f t="shared" si="17"/>
        <v>Cr_to_air</v>
      </c>
      <c r="C93" s="218" t="s">
        <v>534</v>
      </c>
      <c r="D93" s="215">
        <f t="shared" si="16"/>
        <v>6.2374821173104441E-10</v>
      </c>
      <c r="E93" s="260">
        <f>INDEX('Plant Operations'!$B$6:$T$62,MATCH(PS!$C93,'Plant Operations'!$B$6:$B$62,0),MATCH(PS!E$7,'Plant Operations'!$B$6:$T$6,0))</f>
        <v>6.2374821173104441E-10</v>
      </c>
      <c r="F93" s="260">
        <f>INDEX('Plant Operations'!$B$6:$T$62,MATCH(PS!$C93,'Plant Operations'!$B$6:$B$62,0),MATCH(PS!F$7,'Plant Operations'!$B$6:$T$6,0))</f>
        <v>6.2374821173104441E-10</v>
      </c>
      <c r="G93" s="260">
        <f>INDEX('Plant Operations'!$B$6:$T$62,MATCH(PS!$C93,'Plant Operations'!$B$6:$B$62,0),MATCH(PS!G$7,'Plant Operations'!$B$6:$T$6,0))</f>
        <v>6.2374821173104441E-10</v>
      </c>
      <c r="H93" s="260">
        <f>INDEX('Plant Operations'!$B$6:$T$62,MATCH(PS!$C93,'Plant Operations'!$B$6:$B$62,0),MATCH(PS!H$7,'Plant Operations'!$B$6:$T$6,0))</f>
        <v>5.510703363914373E-10</v>
      </c>
      <c r="I93" s="260">
        <f>INDEX('Plant Operations'!$B$6:$T$62,MATCH(PS!$C93,'Plant Operations'!$B$6:$B$62,0),MATCH(PS!I$7,'Plant Operations'!$B$6:$T$6,0))</f>
        <v>5.510703363914373E-10</v>
      </c>
      <c r="J93" s="260">
        <f>INDEX('Plant Operations'!$B$6:$T$62,MATCH(PS!$C93,'Plant Operations'!$B$6:$B$62,0),MATCH(PS!J$7,'Plant Operations'!$B$6:$T$6,0))</f>
        <v>5.510703363914373E-10</v>
      </c>
      <c r="K93" s="260">
        <f>INDEX('Plant Operations'!$B$6:$T$62,MATCH(PS!$C93,'Plant Operations'!$B$6:$B$62,0),MATCH(PS!K$7,'Plant Operations'!$B$6:$T$6,0))</f>
        <v>5.510703363914373E-10</v>
      </c>
      <c r="L93" s="260">
        <f>INDEX('Plant Operations'!$B$6:$T$62,MATCH(PS!$C93,'Plant Operations'!$B$6:$B$62,0),MATCH(PS!L$7,'Plant Operations'!$B$6:$T$6,0))</f>
        <v>5.510703363914373E-10</v>
      </c>
      <c r="M93" s="260">
        <f>INDEX('Plant Operations'!$B$6:$T$62,MATCH(PS!$C93,'Plant Operations'!$B$6:$B$62,0),MATCH(PS!M$7,'Plant Operations'!$B$6:$T$6,0))</f>
        <v>5.510703363914373E-10</v>
      </c>
      <c r="N93" s="260">
        <f>INDEX('Plant Operations'!$B$6:$T$62,MATCH(PS!$C93,'Plant Operations'!$B$6:$B$62,0),MATCH(PS!N$7,'Plant Operations'!$B$6:$T$6,0))</f>
        <v>5.510703363914373E-10</v>
      </c>
      <c r="O93" s="260">
        <f>INDEX('Plant Operations'!$B$6:$T$62,MATCH(PS!$C93,'Plant Operations'!$B$6:$B$62,0),MATCH(PS!O$7,'Plant Operations'!$B$6:$T$6,0))</f>
        <v>5.7628979143798016E-10</v>
      </c>
      <c r="P93" s="260" t="e">
        <f>INDEX('Plant Operations'!$B$6:$T$62,MATCH(PS!$C93,'Plant Operations'!$B$6:$B$62,0),MATCH(PS!P$7,'Plant Operations'!$B$6:$T$6,0))</f>
        <v>#N/A</v>
      </c>
      <c r="Q93" s="216" t="s">
        <v>886</v>
      </c>
    </row>
    <row r="94" spans="1:17" ht="15" customHeight="1" x14ac:dyDescent="0.25">
      <c r="A94">
        <f t="shared" si="15"/>
        <v>91</v>
      </c>
      <c r="B94" t="str">
        <f t="shared" si="17"/>
        <v>Cob_to_air</v>
      </c>
      <c r="C94" s="218" t="s">
        <v>535</v>
      </c>
      <c r="D94" s="215">
        <f t="shared" si="16"/>
        <v>5.278969957081545E-12</v>
      </c>
      <c r="E94" s="260">
        <f>INDEX('Plant Operations'!$B$6:$T$62,MATCH(PS!$C94,'Plant Operations'!$B$6:$B$62,0),MATCH(PS!E$7,'Plant Operations'!$B$6:$T$6,0))</f>
        <v>5.278969957081545E-12</v>
      </c>
      <c r="F94" s="260">
        <f>INDEX('Plant Operations'!$B$6:$T$62,MATCH(PS!$C94,'Plant Operations'!$B$6:$B$62,0),MATCH(PS!F$7,'Plant Operations'!$B$6:$T$6,0))</f>
        <v>5.278969957081545E-12</v>
      </c>
      <c r="G94" s="260">
        <f>INDEX('Plant Operations'!$B$6:$T$62,MATCH(PS!$C94,'Plant Operations'!$B$6:$B$62,0),MATCH(PS!G$7,'Plant Operations'!$B$6:$T$6,0))</f>
        <v>5.278969957081545E-12</v>
      </c>
      <c r="H94" s="260">
        <f>INDEX('Plant Operations'!$B$6:$T$62,MATCH(PS!$C94,'Plant Operations'!$B$6:$B$62,0),MATCH(PS!H$7,'Plant Operations'!$B$6:$T$6,0))</f>
        <v>1.6868501529051988E-13</v>
      </c>
      <c r="I94" s="260">
        <f>INDEX('Plant Operations'!$B$6:$T$62,MATCH(PS!$C94,'Plant Operations'!$B$6:$B$62,0),MATCH(PS!I$7,'Plant Operations'!$B$6:$T$6,0))</f>
        <v>1.6868501529051988E-13</v>
      </c>
      <c r="J94" s="260">
        <f>INDEX('Plant Operations'!$B$6:$T$62,MATCH(PS!$C94,'Plant Operations'!$B$6:$B$62,0),MATCH(PS!J$7,'Plant Operations'!$B$6:$T$6,0))</f>
        <v>1.6868501529051988E-13</v>
      </c>
      <c r="K94" s="260">
        <f>INDEX('Plant Operations'!$B$6:$T$62,MATCH(PS!$C94,'Plant Operations'!$B$6:$B$62,0),MATCH(PS!K$7,'Plant Operations'!$B$6:$T$6,0))</f>
        <v>1.6868501529051988E-13</v>
      </c>
      <c r="L94" s="260">
        <f>INDEX('Plant Operations'!$B$6:$T$62,MATCH(PS!$C94,'Plant Operations'!$B$6:$B$62,0),MATCH(PS!L$7,'Plant Operations'!$B$6:$T$6,0))</f>
        <v>1.6868501529051988E-13</v>
      </c>
      <c r="M94" s="260">
        <f>INDEX('Plant Operations'!$B$6:$T$62,MATCH(PS!$C94,'Plant Operations'!$B$6:$B$62,0),MATCH(PS!M$7,'Plant Operations'!$B$6:$T$6,0))</f>
        <v>1.6868501529051988E-13</v>
      </c>
      <c r="N94" s="260">
        <f>INDEX('Plant Operations'!$B$6:$T$62,MATCH(PS!$C94,'Plant Operations'!$B$6:$B$62,0),MATCH(PS!N$7,'Plant Operations'!$B$6:$T$6,0))</f>
        <v>1.6868501529051988E-13</v>
      </c>
      <c r="O94" s="260">
        <f>INDEX('Plant Operations'!$B$6:$T$62,MATCH(PS!$C94,'Plant Operations'!$B$6:$B$62,0),MATCH(PS!O$7,'Plant Operations'!$B$6:$T$6,0))</f>
        <v>2.9802414928649835E-12</v>
      </c>
      <c r="P94" s="260" t="e">
        <f>INDEX('Plant Operations'!$B$6:$T$62,MATCH(PS!$C94,'Plant Operations'!$B$6:$B$62,0),MATCH(PS!P$7,'Plant Operations'!$B$6:$T$6,0))</f>
        <v>#N/A</v>
      </c>
      <c r="Q94" s="216" t="s">
        <v>887</v>
      </c>
    </row>
    <row r="95" spans="1:17" ht="15" customHeight="1" x14ac:dyDescent="0.25">
      <c r="A95">
        <f t="shared" si="15"/>
        <v>92</v>
      </c>
      <c r="B95" t="str">
        <f t="shared" si="17"/>
        <v>Cu_to_air</v>
      </c>
      <c r="C95" s="218" t="s">
        <v>536</v>
      </c>
      <c r="D95" s="215">
        <f t="shared" si="16"/>
        <v>1.0686695278969958E-11</v>
      </c>
      <c r="E95" s="260">
        <f>INDEX('Plant Operations'!$B$6:$T$62,MATCH(PS!$C95,'Plant Operations'!$B$6:$B$62,0),MATCH(PS!E$7,'Plant Operations'!$B$6:$T$6,0))</f>
        <v>1.0686695278969958E-11</v>
      </c>
      <c r="F95" s="260">
        <f>INDEX('Plant Operations'!$B$6:$T$62,MATCH(PS!$C95,'Plant Operations'!$B$6:$B$62,0),MATCH(PS!F$7,'Plant Operations'!$B$6:$T$6,0))</f>
        <v>1.0686695278969958E-11</v>
      </c>
      <c r="G95" s="260">
        <f>INDEX('Plant Operations'!$B$6:$T$62,MATCH(PS!$C95,'Plant Operations'!$B$6:$B$62,0),MATCH(PS!G$7,'Plant Operations'!$B$6:$T$6,0))</f>
        <v>1.0686695278969958E-11</v>
      </c>
      <c r="H95" s="260">
        <f>INDEX('Plant Operations'!$B$6:$T$62,MATCH(PS!$C95,'Plant Operations'!$B$6:$B$62,0),MATCH(PS!H$7,'Plant Operations'!$B$6:$T$6,0))</f>
        <v>1.8581039755351677E-11</v>
      </c>
      <c r="I95" s="260">
        <f>INDEX('Plant Operations'!$B$6:$T$62,MATCH(PS!$C95,'Plant Operations'!$B$6:$B$62,0),MATCH(PS!I$7,'Plant Operations'!$B$6:$T$6,0))</f>
        <v>1.8581039755351677E-11</v>
      </c>
      <c r="J95" s="260">
        <f>INDEX('Plant Operations'!$B$6:$T$62,MATCH(PS!$C95,'Plant Operations'!$B$6:$B$62,0),MATCH(PS!J$7,'Plant Operations'!$B$6:$T$6,0))</f>
        <v>1.8581039755351677E-11</v>
      </c>
      <c r="K95" s="260">
        <f>INDEX('Plant Operations'!$B$6:$T$62,MATCH(PS!$C95,'Plant Operations'!$B$6:$B$62,0),MATCH(PS!K$7,'Plant Operations'!$B$6:$T$6,0))</f>
        <v>1.8581039755351677E-11</v>
      </c>
      <c r="L95" s="260">
        <f>INDEX('Plant Operations'!$B$6:$T$62,MATCH(PS!$C95,'Plant Operations'!$B$6:$B$62,0),MATCH(PS!L$7,'Plant Operations'!$B$6:$T$6,0))</f>
        <v>1.8581039755351677E-11</v>
      </c>
      <c r="M95" s="260">
        <f>INDEX('Plant Operations'!$B$6:$T$62,MATCH(PS!$C95,'Plant Operations'!$B$6:$B$62,0),MATCH(PS!M$7,'Plant Operations'!$B$6:$T$6,0))</f>
        <v>1.8581039755351677E-11</v>
      </c>
      <c r="N95" s="260">
        <f>INDEX('Plant Operations'!$B$6:$T$62,MATCH(PS!$C95,'Plant Operations'!$B$6:$B$62,0),MATCH(PS!N$7,'Plant Operations'!$B$6:$T$6,0))</f>
        <v>1.8581039755351677E-11</v>
      </c>
      <c r="O95" s="260">
        <f>INDEX('Plant Operations'!$B$6:$T$62,MATCH(PS!$C95,'Plant Operations'!$B$6:$B$62,0),MATCH(PS!O$7,'Plant Operations'!$B$6:$T$6,0))</f>
        <v>0</v>
      </c>
      <c r="P95" s="260" t="e">
        <f>INDEX('Plant Operations'!$B$6:$T$62,MATCH(PS!$C95,'Plant Operations'!$B$6:$B$62,0),MATCH(PS!P$7,'Plant Operations'!$B$6:$T$6,0))</f>
        <v>#N/A</v>
      </c>
      <c r="Q95" s="216" t="s">
        <v>888</v>
      </c>
    </row>
    <row r="96" spans="1:17" ht="15" customHeight="1" x14ac:dyDescent="0.25">
      <c r="A96">
        <f t="shared" si="15"/>
        <v>93</v>
      </c>
      <c r="B96" t="str">
        <f t="shared" si="17"/>
        <v>HCl_to_air</v>
      </c>
      <c r="C96" s="218" t="s">
        <v>538</v>
      </c>
      <c r="D96" s="215">
        <f t="shared" si="16"/>
        <v>9.012875536480686E-9</v>
      </c>
      <c r="E96" s="260">
        <f>INDEX('Plant Operations'!$B$6:$T$62,MATCH(PS!$C96,'Plant Operations'!$B$6:$B$62,0),MATCH(PS!E$7,'Plant Operations'!$B$6:$T$6,0))</f>
        <v>9.012875536480686E-9</v>
      </c>
      <c r="F96" s="260">
        <f>INDEX('Plant Operations'!$B$6:$T$62,MATCH(PS!$C96,'Plant Operations'!$B$6:$B$62,0),MATCH(PS!F$7,'Plant Operations'!$B$6:$T$6,0))</f>
        <v>9.012875536480686E-9</v>
      </c>
      <c r="G96" s="260">
        <f>INDEX('Plant Operations'!$B$6:$T$62,MATCH(PS!$C96,'Plant Operations'!$B$6:$B$62,0),MATCH(PS!G$7,'Plant Operations'!$B$6:$T$6,0))</f>
        <v>9.012875536480686E-9</v>
      </c>
      <c r="H96" s="260">
        <f>INDEX('Plant Operations'!$B$6:$T$62,MATCH(PS!$C96,'Plant Operations'!$B$6:$B$62,0),MATCH(PS!H$7,'Plant Operations'!$B$6:$T$6,0))</f>
        <v>1.5626911314984709E-8</v>
      </c>
      <c r="I96" s="260">
        <f>INDEX('Plant Operations'!$B$6:$T$62,MATCH(PS!$C96,'Plant Operations'!$B$6:$B$62,0),MATCH(PS!I$7,'Plant Operations'!$B$6:$T$6,0))</f>
        <v>1.5626911314984709E-8</v>
      </c>
      <c r="J96" s="260">
        <f>INDEX('Plant Operations'!$B$6:$T$62,MATCH(PS!$C96,'Plant Operations'!$B$6:$B$62,0),MATCH(PS!J$7,'Plant Operations'!$B$6:$T$6,0))</f>
        <v>1.5626911314984709E-8</v>
      </c>
      <c r="K96" s="260">
        <f>INDEX('Plant Operations'!$B$6:$T$62,MATCH(PS!$C96,'Plant Operations'!$B$6:$B$62,0),MATCH(PS!K$7,'Plant Operations'!$B$6:$T$6,0))</f>
        <v>1.5626911314984709E-8</v>
      </c>
      <c r="L96" s="260">
        <f>INDEX('Plant Operations'!$B$6:$T$62,MATCH(PS!$C96,'Plant Operations'!$B$6:$B$62,0),MATCH(PS!L$7,'Plant Operations'!$B$6:$T$6,0))</f>
        <v>1.5626911314984709E-8</v>
      </c>
      <c r="M96" s="260">
        <f>INDEX('Plant Operations'!$B$6:$T$62,MATCH(PS!$C96,'Plant Operations'!$B$6:$B$62,0),MATCH(PS!M$7,'Plant Operations'!$B$6:$T$6,0))</f>
        <v>1.5626911314984709E-8</v>
      </c>
      <c r="N96" s="260">
        <f>INDEX('Plant Operations'!$B$6:$T$62,MATCH(PS!$C96,'Plant Operations'!$B$6:$B$62,0),MATCH(PS!N$7,'Plant Operations'!$B$6:$T$6,0))</f>
        <v>1.5626911314984709E-8</v>
      </c>
      <c r="O96" s="260">
        <f>INDEX('Plant Operations'!$B$6:$T$62,MATCH(PS!$C96,'Plant Operations'!$B$6:$B$62,0),MATCH(PS!O$7,'Plant Operations'!$B$6:$T$6,0))</f>
        <v>0</v>
      </c>
      <c r="P96" s="260" t="e">
        <f>INDEX('Plant Operations'!$B$6:$T$62,MATCH(PS!$C96,'Plant Operations'!$B$6:$B$62,0),MATCH(PS!P$7,'Plant Operations'!$B$6:$T$6,0))</f>
        <v>#N/A</v>
      </c>
      <c r="Q96" s="216" t="s">
        <v>889</v>
      </c>
    </row>
    <row r="97" spans="1:17" ht="15" customHeight="1" x14ac:dyDescent="0.25">
      <c r="A97">
        <f t="shared" si="15"/>
        <v>94</v>
      </c>
      <c r="B97" t="str">
        <f t="shared" si="17"/>
        <v>Pb_to_air</v>
      </c>
      <c r="C97" s="218" t="s">
        <v>539</v>
      </c>
      <c r="D97" s="215">
        <f t="shared" si="16"/>
        <v>2.4220314735336193E-10</v>
      </c>
      <c r="E97" s="260">
        <f>INDEX('Plant Operations'!$B$6:$T$62,MATCH(PS!$C97,'Plant Operations'!$B$6:$B$62,0),MATCH(PS!E$7,'Plant Operations'!$B$6:$T$6,0))</f>
        <v>2.4220314735336193E-10</v>
      </c>
      <c r="F97" s="260">
        <f>INDEX('Plant Operations'!$B$6:$T$62,MATCH(PS!$C97,'Plant Operations'!$B$6:$B$62,0),MATCH(PS!F$7,'Plant Operations'!$B$6:$T$6,0))</f>
        <v>2.4220314735336193E-10</v>
      </c>
      <c r="G97" s="260">
        <f>INDEX('Plant Operations'!$B$6:$T$62,MATCH(PS!$C97,'Plant Operations'!$B$6:$B$62,0),MATCH(PS!G$7,'Plant Operations'!$B$6:$T$6,0))</f>
        <v>2.4220314735336193E-10</v>
      </c>
      <c r="H97" s="260">
        <f>INDEX('Plant Operations'!$B$6:$T$62,MATCH(PS!$C97,'Plant Operations'!$B$6:$B$62,0),MATCH(PS!H$7,'Plant Operations'!$B$6:$T$6,0))</f>
        <v>2.2672782874617739E-10</v>
      </c>
      <c r="I97" s="260">
        <f>INDEX('Plant Operations'!$B$6:$T$62,MATCH(PS!$C97,'Plant Operations'!$B$6:$B$62,0),MATCH(PS!I$7,'Plant Operations'!$B$6:$T$6,0))</f>
        <v>2.2672782874617739E-10</v>
      </c>
      <c r="J97" s="260">
        <f>INDEX('Plant Operations'!$B$6:$T$62,MATCH(PS!$C97,'Plant Operations'!$B$6:$B$62,0),MATCH(PS!J$7,'Plant Operations'!$B$6:$T$6,0))</f>
        <v>2.2672782874617739E-10</v>
      </c>
      <c r="K97" s="260">
        <f>INDEX('Plant Operations'!$B$6:$T$62,MATCH(PS!$C97,'Plant Operations'!$B$6:$B$62,0),MATCH(PS!K$7,'Plant Operations'!$B$6:$T$6,0))</f>
        <v>2.2672782874617739E-10</v>
      </c>
      <c r="L97" s="260">
        <f>INDEX('Plant Operations'!$B$6:$T$62,MATCH(PS!$C97,'Plant Operations'!$B$6:$B$62,0),MATCH(PS!L$7,'Plant Operations'!$B$6:$T$6,0))</f>
        <v>2.2672782874617739E-10</v>
      </c>
      <c r="M97" s="260">
        <f>INDEX('Plant Operations'!$B$6:$T$62,MATCH(PS!$C97,'Plant Operations'!$B$6:$B$62,0),MATCH(PS!M$7,'Plant Operations'!$B$6:$T$6,0))</f>
        <v>2.2672782874617739E-10</v>
      </c>
      <c r="N97" s="260">
        <f>INDEX('Plant Operations'!$B$6:$T$62,MATCH(PS!$C97,'Plant Operations'!$B$6:$B$62,0),MATCH(PS!N$7,'Plant Operations'!$B$6:$T$6,0))</f>
        <v>2.2672782874617739E-10</v>
      </c>
      <c r="O97" s="260">
        <f>INDEX('Plant Operations'!$B$6:$T$62,MATCH(PS!$C97,'Plant Operations'!$B$6:$B$62,0),MATCH(PS!O$7,'Plant Operations'!$B$6:$T$6,0))</f>
        <v>2.1075740944017563E-10</v>
      </c>
      <c r="P97" s="260" t="e">
        <f>INDEX('Plant Operations'!$B$6:$T$62,MATCH(PS!$C97,'Plant Operations'!$B$6:$B$62,0),MATCH(PS!P$7,'Plant Operations'!$B$6:$T$6,0))</f>
        <v>#N/A</v>
      </c>
      <c r="Q97" s="216" t="s">
        <v>890</v>
      </c>
    </row>
    <row r="98" spans="1:17" ht="15" customHeight="1" x14ac:dyDescent="0.25">
      <c r="A98">
        <f t="shared" si="15"/>
        <v>95</v>
      </c>
      <c r="B98" t="str">
        <f t="shared" si="17"/>
        <v>Mn_to_air</v>
      </c>
      <c r="C98" s="218" t="s">
        <v>540</v>
      </c>
      <c r="D98" s="215">
        <f t="shared" si="16"/>
        <v>3.7982832618025749E-9</v>
      </c>
      <c r="E98" s="260">
        <f>INDEX('Plant Operations'!$B$6:$T$62,MATCH(PS!$C98,'Plant Operations'!$B$6:$B$62,0),MATCH(PS!E$7,'Plant Operations'!$B$6:$T$6,0))</f>
        <v>3.7982832618025749E-9</v>
      </c>
      <c r="F98" s="260">
        <f>INDEX('Plant Operations'!$B$6:$T$62,MATCH(PS!$C98,'Plant Operations'!$B$6:$B$62,0),MATCH(PS!F$7,'Plant Operations'!$B$6:$T$6,0))</f>
        <v>3.7982832618025749E-9</v>
      </c>
      <c r="G98" s="260">
        <f>INDEX('Plant Operations'!$B$6:$T$62,MATCH(PS!$C98,'Plant Operations'!$B$6:$B$62,0),MATCH(PS!G$7,'Plant Operations'!$B$6:$T$6,0))</f>
        <v>3.7982832618025749E-9</v>
      </c>
      <c r="H98" s="260">
        <f>INDEX('Plant Operations'!$B$6:$T$62,MATCH(PS!$C98,'Plant Operations'!$B$6:$B$62,0),MATCH(PS!H$7,'Plant Operations'!$B$6:$T$6,0))</f>
        <v>3.8048929663608564E-9</v>
      </c>
      <c r="I98" s="260">
        <f>INDEX('Plant Operations'!$B$6:$T$62,MATCH(PS!$C98,'Plant Operations'!$B$6:$B$62,0),MATCH(PS!I$7,'Plant Operations'!$B$6:$T$6,0))</f>
        <v>3.8048929663608564E-9</v>
      </c>
      <c r="J98" s="260">
        <f>INDEX('Plant Operations'!$B$6:$T$62,MATCH(PS!$C98,'Plant Operations'!$B$6:$B$62,0),MATCH(PS!J$7,'Plant Operations'!$B$6:$T$6,0))</f>
        <v>3.8048929663608564E-9</v>
      </c>
      <c r="K98" s="260">
        <f>INDEX('Plant Operations'!$B$6:$T$62,MATCH(PS!$C98,'Plant Operations'!$B$6:$B$62,0),MATCH(PS!K$7,'Plant Operations'!$B$6:$T$6,0))</f>
        <v>3.8048929663608564E-9</v>
      </c>
      <c r="L98" s="260">
        <f>INDEX('Plant Operations'!$B$6:$T$62,MATCH(PS!$C98,'Plant Operations'!$B$6:$B$62,0),MATCH(PS!L$7,'Plant Operations'!$B$6:$T$6,0))</f>
        <v>3.8048929663608564E-9</v>
      </c>
      <c r="M98" s="260">
        <f>INDEX('Plant Operations'!$B$6:$T$62,MATCH(PS!$C98,'Plant Operations'!$B$6:$B$62,0),MATCH(PS!M$7,'Plant Operations'!$B$6:$T$6,0))</f>
        <v>3.8048929663608564E-9</v>
      </c>
      <c r="N98" s="260">
        <f>INDEX('Plant Operations'!$B$6:$T$62,MATCH(PS!$C98,'Plant Operations'!$B$6:$B$62,0),MATCH(PS!N$7,'Plant Operations'!$B$6:$T$6,0))</f>
        <v>3.8048929663608564E-9</v>
      </c>
      <c r="O98" s="260">
        <f>INDEX('Plant Operations'!$B$6:$T$62,MATCH(PS!$C98,'Plant Operations'!$B$6:$B$62,0),MATCH(PS!O$7,'Plant Operations'!$B$6:$T$6,0))</f>
        <v>3.7980241492864986E-9</v>
      </c>
      <c r="P98" s="260" t="e">
        <f>INDEX('Plant Operations'!$B$6:$T$62,MATCH(PS!$C98,'Plant Operations'!$B$6:$B$62,0),MATCH(PS!P$7,'Plant Operations'!$B$6:$T$6,0))</f>
        <v>#N/A</v>
      </c>
      <c r="Q98" s="216" t="s">
        <v>891</v>
      </c>
    </row>
    <row r="99" spans="1:17" ht="15" customHeight="1" x14ac:dyDescent="0.25">
      <c r="A99">
        <f t="shared" si="15"/>
        <v>96</v>
      </c>
      <c r="B99" t="str">
        <f t="shared" si="17"/>
        <v>Hg_to_air</v>
      </c>
      <c r="C99" s="218" t="s">
        <v>541</v>
      </c>
      <c r="D99" s="215">
        <f t="shared" si="16"/>
        <v>2.1673819742489272E-11</v>
      </c>
      <c r="E99" s="260">
        <f>INDEX('Plant Operations'!$B$6:$T$62,MATCH(PS!$C99,'Plant Operations'!$B$6:$B$62,0),MATCH(PS!E$7,'Plant Operations'!$B$6:$T$6,0))</f>
        <v>2.1673819742489272E-11</v>
      </c>
      <c r="F99" s="260">
        <f>INDEX('Plant Operations'!$B$6:$T$62,MATCH(PS!$C99,'Plant Operations'!$B$6:$B$62,0),MATCH(PS!F$7,'Plant Operations'!$B$6:$T$6,0))</f>
        <v>2.1673819742489272E-11</v>
      </c>
      <c r="G99" s="260">
        <f>INDEX('Plant Operations'!$B$6:$T$62,MATCH(PS!$C99,'Plant Operations'!$B$6:$B$62,0),MATCH(PS!G$7,'Plant Operations'!$B$6:$T$6,0))</f>
        <v>2.1673819742489272E-11</v>
      </c>
      <c r="H99" s="260">
        <f>INDEX('Plant Operations'!$B$6:$T$62,MATCH(PS!$C99,'Plant Operations'!$B$6:$B$62,0),MATCH(PS!H$7,'Plant Operations'!$B$6:$T$6,0))</f>
        <v>9.8042813455657488E-12</v>
      </c>
      <c r="I99" s="260">
        <f>INDEX('Plant Operations'!$B$6:$T$62,MATCH(PS!$C99,'Plant Operations'!$B$6:$B$62,0),MATCH(PS!I$7,'Plant Operations'!$B$6:$T$6,0))</f>
        <v>9.8042813455657488E-12</v>
      </c>
      <c r="J99" s="260">
        <f>INDEX('Plant Operations'!$B$6:$T$62,MATCH(PS!$C99,'Plant Operations'!$B$6:$B$62,0),MATCH(PS!J$7,'Plant Operations'!$B$6:$T$6,0))</f>
        <v>9.8042813455657488E-12</v>
      </c>
      <c r="K99" s="260">
        <f>INDEX('Plant Operations'!$B$6:$T$62,MATCH(PS!$C99,'Plant Operations'!$B$6:$B$62,0),MATCH(PS!K$7,'Plant Operations'!$B$6:$T$6,0))</f>
        <v>9.8042813455657488E-12</v>
      </c>
      <c r="L99" s="260">
        <f>INDEX('Plant Operations'!$B$6:$T$62,MATCH(PS!$C99,'Plant Operations'!$B$6:$B$62,0),MATCH(PS!L$7,'Plant Operations'!$B$6:$T$6,0))</f>
        <v>9.8042813455657488E-12</v>
      </c>
      <c r="M99" s="260">
        <f>INDEX('Plant Operations'!$B$6:$T$62,MATCH(PS!$C99,'Plant Operations'!$B$6:$B$62,0),MATCH(PS!M$7,'Plant Operations'!$B$6:$T$6,0))</f>
        <v>9.8042813455657488E-12</v>
      </c>
      <c r="N99" s="260">
        <f>INDEX('Plant Operations'!$B$6:$T$62,MATCH(PS!$C99,'Plant Operations'!$B$6:$B$62,0),MATCH(PS!N$7,'Plant Operations'!$B$6:$T$6,0))</f>
        <v>9.8042813455657488E-12</v>
      </c>
      <c r="O99" s="260">
        <f>INDEX('Plant Operations'!$B$6:$T$62,MATCH(PS!$C99,'Plant Operations'!$B$6:$B$62,0),MATCH(PS!O$7,'Plant Operations'!$B$6:$T$6,0))</f>
        <v>9.220636663007684E-12</v>
      </c>
      <c r="P99" s="260" t="e">
        <f>INDEX('Plant Operations'!$B$6:$T$62,MATCH(PS!$C99,'Plant Operations'!$B$6:$B$62,0),MATCH(PS!P$7,'Plant Operations'!$B$6:$T$6,0))</f>
        <v>#N/A</v>
      </c>
      <c r="Q99" s="216" t="s">
        <v>892</v>
      </c>
    </row>
    <row r="100" spans="1:17" ht="15" customHeight="1" x14ac:dyDescent="0.25">
      <c r="A100">
        <f t="shared" si="15"/>
        <v>97</v>
      </c>
      <c r="B100" t="str">
        <f t="shared" si="17"/>
        <v>CH4_to_air</v>
      </c>
      <c r="C100" s="218" t="s">
        <v>542</v>
      </c>
      <c r="D100" s="215">
        <f t="shared" si="16"/>
        <v>2.2961373390557941E-7</v>
      </c>
      <c r="E100" s="260">
        <f>INDEX('Plant Operations'!$B$6:$T$62,MATCH(PS!$C100,'Plant Operations'!$B$6:$B$62,0),MATCH(PS!E$7,'Plant Operations'!$B$6:$T$6,0))</f>
        <v>2.2961373390557941E-7</v>
      </c>
      <c r="F100" s="260">
        <f>INDEX('Plant Operations'!$B$6:$T$62,MATCH(PS!$C100,'Plant Operations'!$B$6:$B$62,0),MATCH(PS!F$7,'Plant Operations'!$B$6:$T$6,0))</f>
        <v>2.2961373390557941E-7</v>
      </c>
      <c r="G100" s="260">
        <f>INDEX('Plant Operations'!$B$6:$T$62,MATCH(PS!$C100,'Plant Operations'!$B$6:$B$62,0),MATCH(PS!G$7,'Plant Operations'!$B$6:$T$6,0))</f>
        <v>2.2961373390557941E-7</v>
      </c>
      <c r="H100" s="260">
        <f>INDEX('Plant Operations'!$B$6:$T$62,MATCH(PS!$C100,'Plant Operations'!$B$6:$B$62,0),MATCH(PS!H$7,'Plant Operations'!$B$6:$T$6,0))</f>
        <v>5.6513761467889903E-9</v>
      </c>
      <c r="I100" s="260">
        <f>INDEX('Plant Operations'!$B$6:$T$62,MATCH(PS!$C100,'Plant Operations'!$B$6:$B$62,0),MATCH(PS!I$7,'Plant Operations'!$B$6:$T$6,0))</f>
        <v>5.6513761467889903E-9</v>
      </c>
      <c r="J100" s="260">
        <f>INDEX('Plant Operations'!$B$6:$T$62,MATCH(PS!$C100,'Plant Operations'!$B$6:$B$62,0),MATCH(PS!J$7,'Plant Operations'!$B$6:$T$6,0))</f>
        <v>5.6513761467889903E-9</v>
      </c>
      <c r="K100" s="260">
        <f>INDEX('Plant Operations'!$B$6:$T$62,MATCH(PS!$C100,'Plant Operations'!$B$6:$B$62,0),MATCH(PS!K$7,'Plant Operations'!$B$6:$T$6,0))</f>
        <v>5.6513761467889903E-9</v>
      </c>
      <c r="L100" s="260">
        <f>INDEX('Plant Operations'!$B$6:$T$62,MATCH(PS!$C100,'Plant Operations'!$B$6:$B$62,0),MATCH(PS!L$7,'Plant Operations'!$B$6:$T$6,0))</f>
        <v>5.6513761467889903E-9</v>
      </c>
      <c r="M100" s="260">
        <f>INDEX('Plant Operations'!$B$6:$T$62,MATCH(PS!$C100,'Plant Operations'!$B$6:$B$62,0),MATCH(PS!M$7,'Plant Operations'!$B$6:$T$6,0))</f>
        <v>5.6513761467889903E-9</v>
      </c>
      <c r="N100" s="260">
        <f>INDEX('Plant Operations'!$B$6:$T$62,MATCH(PS!$C100,'Plant Operations'!$B$6:$B$62,0),MATCH(PS!N$7,'Plant Operations'!$B$6:$T$6,0))</f>
        <v>5.6513761467889903E-9</v>
      </c>
      <c r="O100" s="260">
        <f>INDEX('Plant Operations'!$B$6:$T$62,MATCH(PS!$C100,'Plant Operations'!$B$6:$B$62,0),MATCH(PS!O$7,'Plant Operations'!$B$6:$T$6,0))</f>
        <v>7.958287596048298E-8</v>
      </c>
      <c r="P100" s="260" t="e">
        <f>INDEX('Plant Operations'!$B$6:$T$62,MATCH(PS!$C100,'Plant Operations'!$B$6:$B$62,0),MATCH(PS!P$7,'Plant Operations'!$B$6:$T$6,0))</f>
        <v>#N/A</v>
      </c>
      <c r="Q100" s="216" t="s">
        <v>893</v>
      </c>
    </row>
    <row r="101" spans="1:17" ht="15" customHeight="1" x14ac:dyDescent="0.25">
      <c r="A101">
        <f t="shared" si="15"/>
        <v>98</v>
      </c>
      <c r="B101" t="str">
        <f t="shared" si="17"/>
        <v>Ni_to_air</v>
      </c>
      <c r="C101" s="218" t="s">
        <v>543</v>
      </c>
      <c r="D101" s="215">
        <f t="shared" si="16"/>
        <v>7.9542203147353362E-10</v>
      </c>
      <c r="E101" s="260">
        <f>INDEX('Plant Operations'!$B$6:$T$62,MATCH(PS!$C101,'Plant Operations'!$B$6:$B$62,0),MATCH(PS!E$7,'Plant Operations'!$B$6:$T$6,0))</f>
        <v>7.9542203147353362E-10</v>
      </c>
      <c r="F101" s="260">
        <f>INDEX('Plant Operations'!$B$6:$T$62,MATCH(PS!$C101,'Plant Operations'!$B$6:$B$62,0),MATCH(PS!F$7,'Plant Operations'!$B$6:$T$6,0))</f>
        <v>7.9542203147353362E-10</v>
      </c>
      <c r="G101" s="260">
        <f>INDEX('Plant Operations'!$B$6:$T$62,MATCH(PS!$C101,'Plant Operations'!$B$6:$B$62,0),MATCH(PS!G$7,'Plant Operations'!$B$6:$T$6,0))</f>
        <v>7.9542203147353362E-10</v>
      </c>
      <c r="H101" s="260">
        <f>INDEX('Plant Operations'!$B$6:$T$62,MATCH(PS!$C101,'Plant Operations'!$B$6:$B$62,0),MATCH(PS!H$7,'Plant Operations'!$B$6:$T$6,0))</f>
        <v>6.8440366972477059E-10</v>
      </c>
      <c r="I101" s="260">
        <f>INDEX('Plant Operations'!$B$6:$T$62,MATCH(PS!$C101,'Plant Operations'!$B$6:$B$62,0),MATCH(PS!I$7,'Plant Operations'!$B$6:$T$6,0))</f>
        <v>6.8440366972477059E-10</v>
      </c>
      <c r="J101" s="260">
        <f>INDEX('Plant Operations'!$B$6:$T$62,MATCH(PS!$C101,'Plant Operations'!$B$6:$B$62,0),MATCH(PS!J$7,'Plant Operations'!$B$6:$T$6,0))</f>
        <v>6.8440366972477059E-10</v>
      </c>
      <c r="K101" s="260">
        <f>INDEX('Plant Operations'!$B$6:$T$62,MATCH(PS!$C101,'Plant Operations'!$B$6:$B$62,0),MATCH(PS!K$7,'Plant Operations'!$B$6:$T$6,0))</f>
        <v>6.8440366972477059E-10</v>
      </c>
      <c r="L101" s="260">
        <f>INDEX('Plant Operations'!$B$6:$T$62,MATCH(PS!$C101,'Plant Operations'!$B$6:$B$62,0),MATCH(PS!L$7,'Plant Operations'!$B$6:$T$6,0))</f>
        <v>6.8440366972477059E-10</v>
      </c>
      <c r="M101" s="260">
        <f>INDEX('Plant Operations'!$B$6:$T$62,MATCH(PS!$C101,'Plant Operations'!$B$6:$B$62,0),MATCH(PS!M$7,'Plant Operations'!$B$6:$T$6,0))</f>
        <v>6.8440366972477059E-10</v>
      </c>
      <c r="N101" s="260">
        <f>INDEX('Plant Operations'!$B$6:$T$62,MATCH(PS!$C101,'Plant Operations'!$B$6:$B$62,0),MATCH(PS!N$7,'Plant Operations'!$B$6:$T$6,0))</f>
        <v>6.8440366972477059E-10</v>
      </c>
      <c r="O101" s="260">
        <f>INDEX('Plant Operations'!$B$6:$T$62,MATCH(PS!$C101,'Plant Operations'!$B$6:$B$62,0),MATCH(PS!O$7,'Plant Operations'!$B$6:$T$6,0))</f>
        <v>7.2447859495060378E-10</v>
      </c>
      <c r="P101" s="260" t="e">
        <f>INDEX('Plant Operations'!$B$6:$T$62,MATCH(PS!$C101,'Plant Operations'!$B$6:$B$62,0),MATCH(PS!P$7,'Plant Operations'!$B$6:$T$6,0))</f>
        <v>#N/A</v>
      </c>
      <c r="Q101" s="216" t="s">
        <v>894</v>
      </c>
    </row>
    <row r="102" spans="1:17" ht="15" customHeight="1" x14ac:dyDescent="0.25">
      <c r="A102">
        <f t="shared" si="15"/>
        <v>99</v>
      </c>
      <c r="B102" t="str">
        <f t="shared" si="17"/>
        <v>NOx_to_air</v>
      </c>
      <c r="C102" s="218" t="s">
        <v>544</v>
      </c>
      <c r="D102" s="215">
        <f t="shared" si="16"/>
        <v>1.1545064377682402E-5</v>
      </c>
      <c r="E102" s="260">
        <f>INDEX('Plant Operations'!$B$6:$T$62,MATCH(PS!$C102,'Plant Operations'!$B$6:$B$62,0),MATCH(PS!E$7,'Plant Operations'!$B$6:$T$6,0))</f>
        <v>1.1545064377682402E-5</v>
      </c>
      <c r="F102" s="260">
        <f>INDEX('Plant Operations'!$B$6:$T$62,MATCH(PS!$C102,'Plant Operations'!$B$6:$B$62,0),MATCH(PS!F$7,'Plant Operations'!$B$6:$T$6,0))</f>
        <v>1.1545064377682402E-5</v>
      </c>
      <c r="G102" s="260">
        <f>INDEX('Plant Operations'!$B$6:$T$62,MATCH(PS!$C102,'Plant Operations'!$B$6:$B$62,0),MATCH(PS!G$7,'Plant Operations'!$B$6:$T$6,0))</f>
        <v>1.1545064377682402E-5</v>
      </c>
      <c r="H102" s="260">
        <f>INDEX('Plant Operations'!$B$6:$T$62,MATCH(PS!$C102,'Plant Operations'!$B$6:$B$62,0),MATCH(PS!H$7,'Plant Operations'!$B$6:$T$6,0))</f>
        <v>7.3639143730886836E-7</v>
      </c>
      <c r="I102" s="260">
        <f>INDEX('Plant Operations'!$B$6:$T$62,MATCH(PS!$C102,'Plant Operations'!$B$6:$B$62,0),MATCH(PS!I$7,'Plant Operations'!$B$6:$T$6,0))</f>
        <v>7.3639143730886836E-7</v>
      </c>
      <c r="J102" s="260">
        <f>INDEX('Plant Operations'!$B$6:$T$62,MATCH(PS!$C102,'Plant Operations'!$B$6:$B$62,0),MATCH(PS!J$7,'Plant Operations'!$B$6:$T$6,0))</f>
        <v>7.3639143730886836E-7</v>
      </c>
      <c r="K102" s="260">
        <f>INDEX('Plant Operations'!$B$6:$T$62,MATCH(PS!$C102,'Plant Operations'!$B$6:$B$62,0),MATCH(PS!K$7,'Plant Operations'!$B$6:$T$6,0))</f>
        <v>7.3639143730886836E-7</v>
      </c>
      <c r="L102" s="260">
        <f>INDEX('Plant Operations'!$B$6:$T$62,MATCH(PS!$C102,'Plant Operations'!$B$6:$B$62,0),MATCH(PS!L$7,'Plant Operations'!$B$6:$T$6,0))</f>
        <v>7.3639143730886836E-7</v>
      </c>
      <c r="M102" s="260">
        <f>INDEX('Plant Operations'!$B$6:$T$62,MATCH(PS!$C102,'Plant Operations'!$B$6:$B$62,0),MATCH(PS!M$7,'Plant Operations'!$B$6:$T$6,0))</f>
        <v>7.3639143730886836E-7</v>
      </c>
      <c r="N102" s="260">
        <f>INDEX('Plant Operations'!$B$6:$T$62,MATCH(PS!$C102,'Plant Operations'!$B$6:$B$62,0),MATCH(PS!N$7,'Plant Operations'!$B$6:$T$6,0))</f>
        <v>7.3639143730886836E-7</v>
      </c>
      <c r="O102" s="260">
        <f>INDEX('Plant Operations'!$B$6:$T$62,MATCH(PS!$C102,'Plant Operations'!$B$6:$B$62,0),MATCH(PS!O$7,'Plant Operations'!$B$6:$T$6,0))</f>
        <v>3.562019758507135E-6</v>
      </c>
      <c r="P102" s="260" t="e">
        <f>INDEX('Plant Operations'!$B$6:$T$62,MATCH(PS!$C102,'Plant Operations'!$B$6:$B$62,0),MATCH(PS!P$7,'Plant Operations'!$B$6:$T$6,0))</f>
        <v>#N/A</v>
      </c>
      <c r="Q102" s="216" t="s">
        <v>895</v>
      </c>
    </row>
    <row r="103" spans="1:17" ht="15" customHeight="1" x14ac:dyDescent="0.25">
      <c r="A103">
        <f t="shared" si="15"/>
        <v>100</v>
      </c>
      <c r="B103" t="str">
        <f t="shared" si="17"/>
        <v>PM_to_air</v>
      </c>
      <c r="C103" s="218" t="s">
        <v>545</v>
      </c>
      <c r="D103" s="215">
        <f t="shared" si="16"/>
        <v>2.0128755364806865E-5</v>
      </c>
      <c r="E103" s="260">
        <f>INDEX('Plant Operations'!$B$6:$T$62,MATCH(PS!$C103,'Plant Operations'!$B$6:$B$62,0),MATCH(PS!E$7,'Plant Operations'!$B$6:$T$6,0))</f>
        <v>2.0128755364806865E-5</v>
      </c>
      <c r="F103" s="260">
        <f>INDEX('Plant Operations'!$B$6:$T$62,MATCH(PS!$C103,'Plant Operations'!$B$6:$B$62,0),MATCH(PS!F$7,'Plant Operations'!$B$6:$T$6,0))</f>
        <v>2.0128755364806865E-5</v>
      </c>
      <c r="G103" s="260">
        <f>INDEX('Plant Operations'!$B$6:$T$62,MATCH(PS!$C103,'Plant Operations'!$B$6:$B$62,0),MATCH(PS!G$7,'Plant Operations'!$B$6:$T$6,0))</f>
        <v>2.0128755364806865E-5</v>
      </c>
      <c r="H103" s="260">
        <f>INDEX('Plant Operations'!$B$6:$T$62,MATCH(PS!$C103,'Plant Operations'!$B$6:$B$62,0),MATCH(PS!H$7,'Plant Operations'!$B$6:$T$6,0))</f>
        <v>2.0079510703363912E-5</v>
      </c>
      <c r="I103" s="260">
        <f>INDEX('Plant Operations'!$B$6:$T$62,MATCH(PS!$C103,'Plant Operations'!$B$6:$B$62,0),MATCH(PS!I$7,'Plant Operations'!$B$6:$T$6,0))</f>
        <v>2.0079510703363912E-5</v>
      </c>
      <c r="J103" s="260">
        <f>INDEX('Plant Operations'!$B$6:$T$62,MATCH(PS!$C103,'Plant Operations'!$B$6:$B$62,0),MATCH(PS!J$7,'Plant Operations'!$B$6:$T$6,0))</f>
        <v>2.0079510703363912E-5</v>
      </c>
      <c r="K103" s="260">
        <f>INDEX('Plant Operations'!$B$6:$T$62,MATCH(PS!$C103,'Plant Operations'!$B$6:$B$62,0),MATCH(PS!K$7,'Plant Operations'!$B$6:$T$6,0))</f>
        <v>2.0079510703363912E-5</v>
      </c>
      <c r="L103" s="260">
        <f>INDEX('Plant Operations'!$B$6:$T$62,MATCH(PS!$C103,'Plant Operations'!$B$6:$B$62,0),MATCH(PS!L$7,'Plant Operations'!$B$6:$T$6,0))</f>
        <v>2.0079510703363912E-5</v>
      </c>
      <c r="M103" s="260">
        <f>INDEX('Plant Operations'!$B$6:$T$62,MATCH(PS!$C103,'Plant Operations'!$B$6:$B$62,0),MATCH(PS!M$7,'Plant Operations'!$B$6:$T$6,0))</f>
        <v>2.0079510703363912E-5</v>
      </c>
      <c r="N103" s="260">
        <f>INDEX('Plant Operations'!$B$6:$T$62,MATCH(PS!$C103,'Plant Operations'!$B$6:$B$62,0),MATCH(PS!N$7,'Plant Operations'!$B$6:$T$6,0))</f>
        <v>2.0079510703363912E-5</v>
      </c>
      <c r="O103" s="260">
        <f>INDEX('Plant Operations'!$B$6:$T$62,MATCH(PS!$C103,'Plant Operations'!$B$6:$B$62,0),MATCH(PS!O$7,'Plant Operations'!$B$6:$T$6,0))</f>
        <v>1.9648737650933041E-5</v>
      </c>
      <c r="P103" s="260" t="e">
        <f>INDEX('Plant Operations'!$B$6:$T$62,MATCH(PS!$C103,'Plant Operations'!$B$6:$B$62,0),MATCH(PS!P$7,'Plant Operations'!$B$6:$T$6,0))</f>
        <v>#N/A</v>
      </c>
      <c r="Q103" s="216" t="s">
        <v>896</v>
      </c>
    </row>
    <row r="104" spans="1:17" ht="15" customHeight="1" x14ac:dyDescent="0.25">
      <c r="A104">
        <f t="shared" si="15"/>
        <v>101</v>
      </c>
      <c r="B104" t="str">
        <f t="shared" si="17"/>
        <v>Perch_air</v>
      </c>
      <c r="C104" s="218" t="s">
        <v>553</v>
      </c>
      <c r="D104" s="215">
        <f t="shared" si="16"/>
        <v>9.8283261802575113E-13</v>
      </c>
      <c r="E104" s="260">
        <f>INDEX('Plant Operations'!$B$6:$T$62,MATCH(PS!$C104,'Plant Operations'!$B$6:$B$62,0),MATCH(PS!E$7,'Plant Operations'!$B$6:$T$6,0))</f>
        <v>9.8283261802575113E-13</v>
      </c>
      <c r="F104" s="260">
        <f>INDEX('Plant Operations'!$B$6:$T$62,MATCH(PS!$C104,'Plant Operations'!$B$6:$B$62,0),MATCH(PS!F$7,'Plant Operations'!$B$6:$T$6,0))</f>
        <v>9.8283261802575113E-13</v>
      </c>
      <c r="G104" s="260">
        <f>INDEX('Plant Operations'!$B$6:$T$62,MATCH(PS!$C104,'Plant Operations'!$B$6:$B$62,0),MATCH(PS!G$7,'Plant Operations'!$B$6:$T$6,0))</f>
        <v>9.8283261802575113E-13</v>
      </c>
      <c r="H104" s="260">
        <f>INDEX('Plant Operations'!$B$6:$T$62,MATCH(PS!$C104,'Plant Operations'!$B$6:$B$62,0),MATCH(PS!H$7,'Plant Operations'!$B$6:$T$6,0))</f>
        <v>1.7039755351681956E-12</v>
      </c>
      <c r="I104" s="260">
        <f>INDEX('Plant Operations'!$B$6:$T$62,MATCH(PS!$C104,'Plant Operations'!$B$6:$B$62,0),MATCH(PS!I$7,'Plant Operations'!$B$6:$T$6,0))</f>
        <v>1.7039755351681956E-12</v>
      </c>
      <c r="J104" s="260">
        <f>INDEX('Plant Operations'!$B$6:$T$62,MATCH(PS!$C104,'Plant Operations'!$B$6:$B$62,0),MATCH(PS!J$7,'Plant Operations'!$B$6:$T$6,0))</f>
        <v>1.7039755351681956E-12</v>
      </c>
      <c r="K104" s="260">
        <f>INDEX('Plant Operations'!$B$6:$T$62,MATCH(PS!$C104,'Plant Operations'!$B$6:$B$62,0),MATCH(PS!K$7,'Plant Operations'!$B$6:$T$6,0))</f>
        <v>1.7039755351681956E-12</v>
      </c>
      <c r="L104" s="260">
        <f>INDEX('Plant Operations'!$B$6:$T$62,MATCH(PS!$C104,'Plant Operations'!$B$6:$B$62,0),MATCH(PS!L$7,'Plant Operations'!$B$6:$T$6,0))</f>
        <v>1.7039755351681956E-12</v>
      </c>
      <c r="M104" s="260">
        <f>INDEX('Plant Operations'!$B$6:$T$62,MATCH(PS!$C104,'Plant Operations'!$B$6:$B$62,0),MATCH(PS!M$7,'Plant Operations'!$B$6:$T$6,0))</f>
        <v>1.7039755351681956E-12</v>
      </c>
      <c r="N104" s="260">
        <f>INDEX('Plant Operations'!$B$6:$T$62,MATCH(PS!$C104,'Plant Operations'!$B$6:$B$62,0),MATCH(PS!N$7,'Plant Operations'!$B$6:$T$6,0))</f>
        <v>1.7039755351681956E-12</v>
      </c>
      <c r="O104" s="260">
        <f>INDEX('Plant Operations'!$B$6:$T$62,MATCH(PS!$C104,'Plant Operations'!$B$6:$B$62,0),MATCH(PS!O$7,'Plant Operations'!$B$6:$T$6,0))</f>
        <v>0</v>
      </c>
      <c r="P104" s="260" t="e">
        <f>INDEX('Plant Operations'!$B$6:$T$62,MATCH(PS!$C104,'Plant Operations'!$B$6:$B$62,0),MATCH(PS!P$7,'Plant Operations'!$B$6:$T$6,0))</f>
        <v>#N/A</v>
      </c>
      <c r="Q104" s="216" t="s">
        <v>897</v>
      </c>
    </row>
    <row r="105" spans="1:17" ht="15" customHeight="1" x14ac:dyDescent="0.25">
      <c r="A105">
        <f t="shared" si="15"/>
        <v>102</v>
      </c>
      <c r="B105" t="str">
        <f t="shared" si="17"/>
        <v>P_to_air</v>
      </c>
      <c r="C105" s="218" t="s">
        <v>546</v>
      </c>
      <c r="D105" s="215">
        <f t="shared" si="16"/>
        <v>1.8698140200286121E-9</v>
      </c>
      <c r="E105" s="260">
        <f>INDEX('Plant Operations'!$B$6:$T$62,MATCH(PS!$C105,'Plant Operations'!$B$6:$B$62,0),MATCH(PS!E$7,'Plant Operations'!$B$6:$T$6,0))</f>
        <v>1.8698140200286121E-9</v>
      </c>
      <c r="F105" s="260">
        <f>INDEX('Plant Operations'!$B$6:$T$62,MATCH(PS!$C105,'Plant Operations'!$B$6:$B$62,0),MATCH(PS!F$7,'Plant Operations'!$B$6:$T$6,0))</f>
        <v>1.8698140200286121E-9</v>
      </c>
      <c r="G105" s="260">
        <f>INDEX('Plant Operations'!$B$6:$T$62,MATCH(PS!$C105,'Plant Operations'!$B$6:$B$62,0),MATCH(PS!G$7,'Plant Operations'!$B$6:$T$6,0))</f>
        <v>1.8698140200286121E-9</v>
      </c>
      <c r="H105" s="260">
        <f>INDEX('Plant Operations'!$B$6:$T$62,MATCH(PS!$C105,'Plant Operations'!$B$6:$B$62,0),MATCH(PS!H$7,'Plant Operations'!$B$6:$T$6,0))</f>
        <v>1.8996941896024462E-9</v>
      </c>
      <c r="I105" s="260">
        <f>INDEX('Plant Operations'!$B$6:$T$62,MATCH(PS!$C105,'Plant Operations'!$B$6:$B$62,0),MATCH(PS!I$7,'Plant Operations'!$B$6:$T$6,0))</f>
        <v>1.8996941896024462E-9</v>
      </c>
      <c r="J105" s="260">
        <f>INDEX('Plant Operations'!$B$6:$T$62,MATCH(PS!$C105,'Plant Operations'!$B$6:$B$62,0),MATCH(PS!J$7,'Plant Operations'!$B$6:$T$6,0))</f>
        <v>1.8996941896024462E-9</v>
      </c>
      <c r="K105" s="260">
        <f>INDEX('Plant Operations'!$B$6:$T$62,MATCH(PS!$C105,'Plant Operations'!$B$6:$B$62,0),MATCH(PS!K$7,'Plant Operations'!$B$6:$T$6,0))</f>
        <v>1.8996941896024462E-9</v>
      </c>
      <c r="L105" s="260">
        <f>INDEX('Plant Operations'!$B$6:$T$62,MATCH(PS!$C105,'Plant Operations'!$B$6:$B$62,0),MATCH(PS!L$7,'Plant Operations'!$B$6:$T$6,0))</f>
        <v>1.8996941896024462E-9</v>
      </c>
      <c r="M105" s="260">
        <f>INDEX('Plant Operations'!$B$6:$T$62,MATCH(PS!$C105,'Plant Operations'!$B$6:$B$62,0),MATCH(PS!M$7,'Plant Operations'!$B$6:$T$6,0))</f>
        <v>1.8996941896024462E-9</v>
      </c>
      <c r="N105" s="260">
        <f>INDEX('Plant Operations'!$B$6:$T$62,MATCH(PS!$C105,'Plant Operations'!$B$6:$B$62,0),MATCH(PS!N$7,'Plant Operations'!$B$6:$T$6,0))</f>
        <v>1.8996941896024462E-9</v>
      </c>
      <c r="O105" s="260">
        <f>INDEX('Plant Operations'!$B$6:$T$62,MATCH(PS!$C105,'Plant Operations'!$B$6:$B$62,0),MATCH(PS!O$7,'Plant Operations'!$B$6:$T$6,0))</f>
        <v>1.8715697036223929E-9</v>
      </c>
      <c r="P105" s="260" t="e">
        <f>INDEX('Plant Operations'!$B$6:$T$62,MATCH(PS!$C105,'Plant Operations'!$B$6:$B$62,0),MATCH(PS!P$7,'Plant Operations'!$B$6:$T$6,0))</f>
        <v>#N/A</v>
      </c>
      <c r="Q105" s="216" t="s">
        <v>898</v>
      </c>
    </row>
    <row r="106" spans="1:17" ht="15" customHeight="1" x14ac:dyDescent="0.25">
      <c r="A106">
        <f t="shared" si="15"/>
        <v>103</v>
      </c>
      <c r="B106" t="str">
        <f t="shared" si="17"/>
        <v>RN_to_air</v>
      </c>
      <c r="C106" s="218" t="s">
        <v>547</v>
      </c>
      <c r="D106" s="215">
        <f t="shared" si="16"/>
        <v>1.1373390557939914E-5</v>
      </c>
      <c r="E106" s="260">
        <f>INDEX('Plant Operations'!$B$6:$T$62,MATCH(PS!$C106,'Plant Operations'!$B$6:$B$62,0),MATCH(PS!E$7,'Plant Operations'!$B$6:$T$6,0))</f>
        <v>1.1373390557939914E-5</v>
      </c>
      <c r="F106" s="260">
        <f>INDEX('Plant Operations'!$B$6:$T$62,MATCH(PS!$C106,'Plant Operations'!$B$6:$B$62,0),MATCH(PS!F$7,'Plant Operations'!$B$6:$T$6,0))</f>
        <v>1.1373390557939914E-5</v>
      </c>
      <c r="G106" s="260">
        <f>INDEX('Plant Operations'!$B$6:$T$62,MATCH(PS!$C106,'Plant Operations'!$B$6:$B$62,0),MATCH(PS!G$7,'Plant Operations'!$B$6:$T$6,0))</f>
        <v>1.1373390557939914E-5</v>
      </c>
      <c r="H106" s="260">
        <f>INDEX('Plant Operations'!$B$6:$T$62,MATCH(PS!$C106,'Plant Operations'!$B$6:$B$62,0),MATCH(PS!H$7,'Plant Operations'!$B$6:$T$6,0))</f>
        <v>9.3333333333333343E-6</v>
      </c>
      <c r="I106" s="260">
        <f>INDEX('Plant Operations'!$B$6:$T$62,MATCH(PS!$C106,'Plant Operations'!$B$6:$B$62,0),MATCH(PS!I$7,'Plant Operations'!$B$6:$T$6,0))</f>
        <v>9.3333333333333343E-6</v>
      </c>
      <c r="J106" s="260">
        <f>INDEX('Plant Operations'!$B$6:$T$62,MATCH(PS!$C106,'Plant Operations'!$B$6:$B$62,0),MATCH(PS!J$7,'Plant Operations'!$B$6:$T$6,0))</f>
        <v>9.3333333333333343E-6</v>
      </c>
      <c r="K106" s="260">
        <f>INDEX('Plant Operations'!$B$6:$T$62,MATCH(PS!$C106,'Plant Operations'!$B$6:$B$62,0),MATCH(PS!K$7,'Plant Operations'!$B$6:$T$6,0))</f>
        <v>9.3333333333333343E-6</v>
      </c>
      <c r="L106" s="260">
        <f>INDEX('Plant Operations'!$B$6:$T$62,MATCH(PS!$C106,'Plant Operations'!$B$6:$B$62,0),MATCH(PS!L$7,'Plant Operations'!$B$6:$T$6,0))</f>
        <v>9.3333333333333343E-6</v>
      </c>
      <c r="M106" s="260">
        <f>INDEX('Plant Operations'!$B$6:$T$62,MATCH(PS!$C106,'Plant Operations'!$B$6:$B$62,0),MATCH(PS!M$7,'Plant Operations'!$B$6:$T$6,0))</f>
        <v>9.3333333333333343E-6</v>
      </c>
      <c r="N106" s="260">
        <f>INDEX('Plant Operations'!$B$6:$T$62,MATCH(PS!$C106,'Plant Operations'!$B$6:$B$62,0),MATCH(PS!N$7,'Plant Operations'!$B$6:$T$6,0))</f>
        <v>9.3333333333333343E-6</v>
      </c>
      <c r="O106" s="260">
        <f>INDEX('Plant Operations'!$B$6:$T$62,MATCH(PS!$C106,'Plant Operations'!$B$6:$B$62,0),MATCH(PS!O$7,'Plant Operations'!$B$6:$T$6,0))</f>
        <v>3.4412733260153681E-6</v>
      </c>
      <c r="P106" s="260" t="e">
        <f>INDEX('Plant Operations'!$B$6:$T$62,MATCH(PS!$C106,'Plant Operations'!$B$6:$B$62,0),MATCH(PS!P$7,'Plant Operations'!$B$6:$T$6,0))</f>
        <v>#N/A</v>
      </c>
      <c r="Q106" s="216" t="s">
        <v>1063</v>
      </c>
    </row>
    <row r="107" spans="1:17" ht="15" customHeight="1" x14ac:dyDescent="0.25">
      <c r="A107">
        <f t="shared" si="15"/>
        <v>104</v>
      </c>
      <c r="B107" t="str">
        <f t="shared" si="17"/>
        <v>Se_to_air</v>
      </c>
      <c r="C107" s="218" t="s">
        <v>548</v>
      </c>
      <c r="D107" s="215">
        <f t="shared" si="16"/>
        <v>4.1759656652360515E-11</v>
      </c>
      <c r="E107" s="260">
        <f>INDEX('Plant Operations'!$B$6:$T$62,MATCH(PS!$C107,'Plant Operations'!$B$6:$B$62,0),MATCH(PS!E$7,'Plant Operations'!$B$6:$T$6,0))</f>
        <v>4.1759656652360515E-11</v>
      </c>
      <c r="F107" s="260">
        <f>INDEX('Plant Operations'!$B$6:$T$62,MATCH(PS!$C107,'Plant Operations'!$B$6:$B$62,0),MATCH(PS!F$7,'Plant Operations'!$B$6:$T$6,0))</f>
        <v>4.1759656652360515E-11</v>
      </c>
      <c r="G107" s="260">
        <f>INDEX('Plant Operations'!$B$6:$T$62,MATCH(PS!$C107,'Plant Operations'!$B$6:$B$62,0),MATCH(PS!G$7,'Plant Operations'!$B$6:$T$6,0))</f>
        <v>4.1759656652360515E-11</v>
      </c>
      <c r="H107" s="260">
        <f>INDEX('Plant Operations'!$B$6:$T$62,MATCH(PS!$C107,'Plant Operations'!$B$6:$B$62,0),MATCH(PS!H$7,'Plant Operations'!$B$6:$T$6,0))</f>
        <v>6.0305810397553518E-11</v>
      </c>
      <c r="I107" s="260">
        <f>INDEX('Plant Operations'!$B$6:$T$62,MATCH(PS!$C107,'Plant Operations'!$B$6:$B$62,0),MATCH(PS!I$7,'Plant Operations'!$B$6:$T$6,0))</f>
        <v>6.0305810397553518E-11</v>
      </c>
      <c r="J107" s="260">
        <f>INDEX('Plant Operations'!$B$6:$T$62,MATCH(PS!$C107,'Plant Operations'!$B$6:$B$62,0),MATCH(PS!J$7,'Plant Operations'!$B$6:$T$6,0))</f>
        <v>6.0305810397553518E-11</v>
      </c>
      <c r="K107" s="260">
        <f>INDEX('Plant Operations'!$B$6:$T$62,MATCH(PS!$C107,'Plant Operations'!$B$6:$B$62,0),MATCH(PS!K$7,'Plant Operations'!$B$6:$T$6,0))</f>
        <v>6.0305810397553518E-11</v>
      </c>
      <c r="L107" s="260">
        <f>INDEX('Plant Operations'!$B$6:$T$62,MATCH(PS!$C107,'Plant Operations'!$B$6:$B$62,0),MATCH(PS!L$7,'Plant Operations'!$B$6:$T$6,0))</f>
        <v>6.0305810397553518E-11</v>
      </c>
      <c r="M107" s="260">
        <f>INDEX('Plant Operations'!$B$6:$T$62,MATCH(PS!$C107,'Plant Operations'!$B$6:$B$62,0),MATCH(PS!M$7,'Plant Operations'!$B$6:$T$6,0))</f>
        <v>6.0305810397553518E-11</v>
      </c>
      <c r="N107" s="260">
        <f>INDEX('Plant Operations'!$B$6:$T$62,MATCH(PS!$C107,'Plant Operations'!$B$6:$B$62,0),MATCH(PS!N$7,'Plant Operations'!$B$6:$T$6,0))</f>
        <v>6.0305810397553518E-11</v>
      </c>
      <c r="O107" s="260">
        <f>INDEX('Plant Operations'!$B$6:$T$62,MATCH(PS!$C107,'Plant Operations'!$B$6:$B$62,0),MATCH(PS!O$7,'Plant Operations'!$B$6:$T$6,0))</f>
        <v>1.4105378704720086E-11</v>
      </c>
      <c r="P107" s="260" t="e">
        <f>INDEX('Plant Operations'!$B$6:$T$62,MATCH(PS!$C107,'Plant Operations'!$B$6:$B$62,0),MATCH(PS!P$7,'Plant Operations'!$B$6:$T$6,0))</f>
        <v>#N/A</v>
      </c>
      <c r="Q107" s="216" t="s">
        <v>899</v>
      </c>
    </row>
    <row r="108" spans="1:17" ht="15" customHeight="1" x14ac:dyDescent="0.25">
      <c r="A108">
        <f t="shared" si="15"/>
        <v>105</v>
      </c>
      <c r="B108" t="str">
        <f t="shared" si="17"/>
        <v>SOx_to_air</v>
      </c>
      <c r="C108" s="218" t="s">
        <v>549</v>
      </c>
      <c r="D108" s="215">
        <f t="shared" si="16"/>
        <v>1.0386266094420602E-7</v>
      </c>
      <c r="E108" s="260">
        <f>INDEX('Plant Operations'!$B$6:$T$62,MATCH(PS!$C108,'Plant Operations'!$B$6:$B$62,0),MATCH(PS!E$7,'Plant Operations'!$B$6:$T$6,0))</f>
        <v>1.0386266094420602E-7</v>
      </c>
      <c r="F108" s="260">
        <f>INDEX('Plant Operations'!$B$6:$T$62,MATCH(PS!$C108,'Plant Operations'!$B$6:$B$62,0),MATCH(PS!F$7,'Plant Operations'!$B$6:$T$6,0))</f>
        <v>1.0386266094420602E-7</v>
      </c>
      <c r="G108" s="260">
        <f>INDEX('Plant Operations'!$B$6:$T$62,MATCH(PS!$C108,'Plant Operations'!$B$6:$B$62,0),MATCH(PS!G$7,'Plant Operations'!$B$6:$T$6,0))</f>
        <v>1.0386266094420602E-7</v>
      </c>
      <c r="H108" s="260">
        <f>INDEX('Plant Operations'!$B$6:$T$62,MATCH(PS!$C108,'Plant Operations'!$B$6:$B$62,0),MATCH(PS!H$7,'Plant Operations'!$B$6:$T$6,0))</f>
        <v>1.1259938837920489E-7</v>
      </c>
      <c r="I108" s="260">
        <f>INDEX('Plant Operations'!$B$6:$T$62,MATCH(PS!$C108,'Plant Operations'!$B$6:$B$62,0),MATCH(PS!I$7,'Plant Operations'!$B$6:$T$6,0))</f>
        <v>1.1259938837920489E-7</v>
      </c>
      <c r="J108" s="260">
        <f>INDEX('Plant Operations'!$B$6:$T$62,MATCH(PS!$C108,'Plant Operations'!$B$6:$B$62,0),MATCH(PS!J$7,'Plant Operations'!$B$6:$T$6,0))</f>
        <v>1.1259938837920489E-7</v>
      </c>
      <c r="K108" s="260">
        <f>INDEX('Plant Operations'!$B$6:$T$62,MATCH(PS!$C108,'Plant Operations'!$B$6:$B$62,0),MATCH(PS!K$7,'Plant Operations'!$B$6:$T$6,0))</f>
        <v>1.1259938837920489E-7</v>
      </c>
      <c r="L108" s="260">
        <f>INDEX('Plant Operations'!$B$6:$T$62,MATCH(PS!$C108,'Plant Operations'!$B$6:$B$62,0),MATCH(PS!L$7,'Plant Operations'!$B$6:$T$6,0))</f>
        <v>1.1259938837920489E-7</v>
      </c>
      <c r="M108" s="260">
        <f>INDEX('Plant Operations'!$B$6:$T$62,MATCH(PS!$C108,'Plant Operations'!$B$6:$B$62,0),MATCH(PS!M$7,'Plant Operations'!$B$6:$T$6,0))</f>
        <v>1.1259938837920489E-7</v>
      </c>
      <c r="N108" s="260">
        <f>INDEX('Plant Operations'!$B$6:$T$62,MATCH(PS!$C108,'Plant Operations'!$B$6:$B$62,0),MATCH(PS!N$7,'Plant Operations'!$B$6:$T$6,0))</f>
        <v>1.1259938837920489E-7</v>
      </c>
      <c r="O108" s="260">
        <f>INDEX('Plant Operations'!$B$6:$T$62,MATCH(PS!$C108,'Plant Operations'!$B$6:$B$62,0),MATCH(PS!O$7,'Plant Operations'!$B$6:$T$6,0))</f>
        <v>2.2392974753018662E-8</v>
      </c>
      <c r="P108" s="260" t="e">
        <f>INDEX('Plant Operations'!$B$6:$T$62,MATCH(PS!$C108,'Plant Operations'!$B$6:$B$62,0),MATCH(PS!P$7,'Plant Operations'!$B$6:$T$6,0))</f>
        <v>#N/A</v>
      </c>
      <c r="Q108" s="216" t="s">
        <v>900</v>
      </c>
    </row>
    <row r="109" spans="1:17" ht="15" customHeight="1" x14ac:dyDescent="0.25">
      <c r="A109">
        <f t="shared" si="15"/>
        <v>106</v>
      </c>
      <c r="B109" t="str">
        <f t="shared" si="17"/>
        <v>NMVOC_air</v>
      </c>
      <c r="C109" s="218" t="s">
        <v>550</v>
      </c>
      <c r="D109" s="215">
        <f t="shared" si="16"/>
        <v>2.9377682403433478E-6</v>
      </c>
      <c r="E109" s="260">
        <f>INDEX('Plant Operations'!$B$6:$T$62,MATCH(PS!$C109,'Plant Operations'!$B$6:$B$62,0),MATCH(PS!E$7,'Plant Operations'!$B$6:$T$6,0))</f>
        <v>2.9377682403433478E-6</v>
      </c>
      <c r="F109" s="260">
        <f>INDEX('Plant Operations'!$B$6:$T$62,MATCH(PS!$C109,'Plant Operations'!$B$6:$B$62,0),MATCH(PS!F$7,'Plant Operations'!$B$6:$T$6,0))</f>
        <v>2.9377682403433478E-6</v>
      </c>
      <c r="G109" s="260">
        <f>INDEX('Plant Operations'!$B$6:$T$62,MATCH(PS!$C109,'Plant Operations'!$B$6:$B$62,0),MATCH(PS!G$7,'Plant Operations'!$B$6:$T$6,0))</f>
        <v>2.9377682403433478E-6</v>
      </c>
      <c r="H109" s="260">
        <f>INDEX('Plant Operations'!$B$6:$T$62,MATCH(PS!$C109,'Plant Operations'!$B$6:$B$62,0),MATCH(PS!H$7,'Plant Operations'!$B$6:$T$6,0))</f>
        <v>1.083180428134557E-8</v>
      </c>
      <c r="I109" s="260">
        <f>INDEX('Plant Operations'!$B$6:$T$62,MATCH(PS!$C109,'Plant Operations'!$B$6:$B$62,0),MATCH(PS!I$7,'Plant Operations'!$B$6:$T$6,0))</f>
        <v>1.083180428134557E-8</v>
      </c>
      <c r="J109" s="260">
        <f>INDEX('Plant Operations'!$B$6:$T$62,MATCH(PS!$C109,'Plant Operations'!$B$6:$B$62,0),MATCH(PS!J$7,'Plant Operations'!$B$6:$T$6,0))</f>
        <v>1.083180428134557E-8</v>
      </c>
      <c r="K109" s="260">
        <f>INDEX('Plant Operations'!$B$6:$T$62,MATCH(PS!$C109,'Plant Operations'!$B$6:$B$62,0),MATCH(PS!K$7,'Plant Operations'!$B$6:$T$6,0))</f>
        <v>1.083180428134557E-8</v>
      </c>
      <c r="L109" s="260">
        <f>INDEX('Plant Operations'!$B$6:$T$62,MATCH(PS!$C109,'Plant Operations'!$B$6:$B$62,0),MATCH(PS!L$7,'Plant Operations'!$B$6:$T$6,0))</f>
        <v>1.083180428134557E-8</v>
      </c>
      <c r="M109" s="260">
        <f>INDEX('Plant Operations'!$B$6:$T$62,MATCH(PS!$C109,'Plant Operations'!$B$6:$B$62,0),MATCH(PS!M$7,'Plant Operations'!$B$6:$T$6,0))</f>
        <v>1.083180428134557E-8</v>
      </c>
      <c r="N109" s="260">
        <f>INDEX('Plant Operations'!$B$6:$T$62,MATCH(PS!$C109,'Plant Operations'!$B$6:$B$62,0),MATCH(PS!N$7,'Plant Operations'!$B$6:$T$6,0))</f>
        <v>1.083180428134557E-8</v>
      </c>
      <c r="O109" s="260">
        <f>INDEX('Plant Operations'!$B$6:$T$62,MATCH(PS!$C109,'Plant Operations'!$B$6:$B$62,0),MATCH(PS!O$7,'Plant Operations'!$B$6:$T$6,0))</f>
        <v>1.2623490669593854E-7</v>
      </c>
      <c r="P109" s="260" t="e">
        <f>INDEX('Plant Operations'!$B$6:$T$62,MATCH(PS!$C109,'Plant Operations'!$B$6:$B$62,0),MATCH(PS!P$7,'Plant Operations'!$B$6:$T$6,0))</f>
        <v>#N/A</v>
      </c>
      <c r="Q109" s="216" t="s">
        <v>901</v>
      </c>
    </row>
    <row r="110" spans="1:17" ht="15" customHeight="1" x14ac:dyDescent="0.25">
      <c r="A110">
        <f t="shared" si="15"/>
        <v>107</v>
      </c>
      <c r="B110" t="str">
        <f t="shared" si="17"/>
        <v>Zn_to_air</v>
      </c>
      <c r="C110" s="218" t="s">
        <v>551</v>
      </c>
      <c r="D110" s="215">
        <f t="shared" si="16"/>
        <v>7.1244635193133047E-12</v>
      </c>
      <c r="E110" s="260">
        <f>INDEX('Plant Operations'!$B$6:$T$62,MATCH(PS!$C110,'Plant Operations'!$B$6:$B$62,0),MATCH(PS!E$7,'Plant Operations'!$B$6:$T$6,0))</f>
        <v>7.1244635193133047E-12</v>
      </c>
      <c r="F110" s="260">
        <f>INDEX('Plant Operations'!$B$6:$T$62,MATCH(PS!$C110,'Plant Operations'!$B$6:$B$62,0),MATCH(PS!F$7,'Plant Operations'!$B$6:$T$6,0))</f>
        <v>7.1244635193133047E-12</v>
      </c>
      <c r="G110" s="260">
        <f>INDEX('Plant Operations'!$B$6:$T$62,MATCH(PS!$C110,'Plant Operations'!$B$6:$B$62,0),MATCH(PS!G$7,'Plant Operations'!$B$6:$T$6,0))</f>
        <v>7.1244635193133047E-12</v>
      </c>
      <c r="H110" s="260">
        <f>INDEX('Plant Operations'!$B$6:$T$62,MATCH(PS!$C110,'Plant Operations'!$B$6:$B$62,0),MATCH(PS!H$7,'Plant Operations'!$B$6:$T$6,0))</f>
        <v>1.237308868501529E-11</v>
      </c>
      <c r="I110" s="260">
        <f>INDEX('Plant Operations'!$B$6:$T$62,MATCH(PS!$C110,'Plant Operations'!$B$6:$B$62,0),MATCH(PS!I$7,'Plant Operations'!$B$6:$T$6,0))</f>
        <v>1.237308868501529E-11</v>
      </c>
      <c r="J110" s="260">
        <f>INDEX('Plant Operations'!$B$6:$T$62,MATCH(PS!$C110,'Plant Operations'!$B$6:$B$62,0),MATCH(PS!J$7,'Plant Operations'!$B$6:$T$6,0))</f>
        <v>1.237308868501529E-11</v>
      </c>
      <c r="K110" s="260">
        <f>INDEX('Plant Operations'!$B$6:$T$62,MATCH(PS!$C110,'Plant Operations'!$B$6:$B$62,0),MATCH(PS!K$7,'Plant Operations'!$B$6:$T$6,0))</f>
        <v>1.237308868501529E-11</v>
      </c>
      <c r="L110" s="260">
        <f>INDEX('Plant Operations'!$B$6:$T$62,MATCH(PS!$C110,'Plant Operations'!$B$6:$B$62,0),MATCH(PS!L$7,'Plant Operations'!$B$6:$T$6,0))</f>
        <v>1.237308868501529E-11</v>
      </c>
      <c r="M110" s="260">
        <f>INDEX('Plant Operations'!$B$6:$T$62,MATCH(PS!$C110,'Plant Operations'!$B$6:$B$62,0),MATCH(PS!M$7,'Plant Operations'!$B$6:$T$6,0))</f>
        <v>1.237308868501529E-11</v>
      </c>
      <c r="N110" s="260">
        <f>INDEX('Plant Operations'!$B$6:$T$62,MATCH(PS!$C110,'Plant Operations'!$B$6:$B$62,0),MATCH(PS!N$7,'Plant Operations'!$B$6:$T$6,0))</f>
        <v>1.237308868501529E-11</v>
      </c>
      <c r="O110" s="260">
        <f>INDEX('Plant Operations'!$B$6:$T$62,MATCH(PS!$C110,'Plant Operations'!$B$6:$B$62,0),MATCH(PS!O$7,'Plant Operations'!$B$6:$T$6,0))</f>
        <v>0</v>
      </c>
      <c r="P110" s="260" t="e">
        <f>INDEX('Plant Operations'!$B$6:$T$62,MATCH(PS!$C110,'Plant Operations'!$B$6:$B$62,0),MATCH(PS!P$7,'Plant Operations'!$B$6:$T$6,0))</f>
        <v>#N/A</v>
      </c>
      <c r="Q110" s="216" t="s">
        <v>902</v>
      </c>
    </row>
    <row r="111" spans="1:17" ht="15" customHeight="1" x14ac:dyDescent="0.25">
      <c r="A111">
        <f t="shared" si="15"/>
        <v>108</v>
      </c>
      <c r="B111" t="str">
        <f t="shared" si="17"/>
        <v>solidwaste</v>
      </c>
      <c r="C111" s="218" t="s">
        <v>552</v>
      </c>
      <c r="D111" s="215">
        <f t="shared" si="16"/>
        <v>3.2618025751072963E-2</v>
      </c>
      <c r="E111" s="260">
        <f>INDEX('Plant Operations'!$B$6:$T$62,MATCH(PS!$C111,'Plant Operations'!$B$6:$B$62,0),MATCH(PS!E$7,'Plant Operations'!$B$6:$T$6,0))</f>
        <v>3.2618025751072963E-2</v>
      </c>
      <c r="F111" s="260">
        <f>INDEX('Plant Operations'!$B$6:$T$62,MATCH(PS!$C111,'Plant Operations'!$B$6:$B$62,0),MATCH(PS!F$7,'Plant Operations'!$B$6:$T$6,0))</f>
        <v>3.2618025751072963E-2</v>
      </c>
      <c r="G111" s="260">
        <f>INDEX('Plant Operations'!$B$6:$T$62,MATCH(PS!$C111,'Plant Operations'!$B$6:$B$62,0),MATCH(PS!G$7,'Plant Operations'!$B$6:$T$6,0))</f>
        <v>3.2618025751072963E-2</v>
      </c>
      <c r="H111" s="260">
        <f>INDEX('Plant Operations'!$B$6:$T$62,MATCH(PS!$C111,'Plant Operations'!$B$6:$B$62,0),MATCH(PS!H$7,'Plant Operations'!$B$6:$T$6,0))</f>
        <v>1.0489296636085627E-2</v>
      </c>
      <c r="I111" s="260">
        <f>INDEX('Plant Operations'!$B$6:$T$62,MATCH(PS!$C111,'Plant Operations'!$B$6:$B$62,0),MATCH(PS!I$7,'Plant Operations'!$B$6:$T$6,0))</f>
        <v>1.0489296636085627E-2</v>
      </c>
      <c r="J111" s="260">
        <f>INDEX('Plant Operations'!$B$6:$T$62,MATCH(PS!$C111,'Plant Operations'!$B$6:$B$62,0),MATCH(PS!J$7,'Plant Operations'!$B$6:$T$6,0))</f>
        <v>1.0489296636085627E-2</v>
      </c>
      <c r="K111" s="260">
        <f>INDEX('Plant Operations'!$B$6:$T$62,MATCH(PS!$C111,'Plant Operations'!$B$6:$B$62,0),MATCH(PS!K$7,'Plant Operations'!$B$6:$T$6,0))</f>
        <v>1.0489296636085627E-2</v>
      </c>
      <c r="L111" s="260">
        <f>INDEX('Plant Operations'!$B$6:$T$62,MATCH(PS!$C111,'Plant Operations'!$B$6:$B$62,0),MATCH(PS!L$7,'Plant Operations'!$B$6:$T$6,0))</f>
        <v>1.0489296636085627E-2</v>
      </c>
      <c r="M111" s="260">
        <f>INDEX('Plant Operations'!$B$6:$T$62,MATCH(PS!$C111,'Plant Operations'!$B$6:$B$62,0),MATCH(PS!M$7,'Plant Operations'!$B$6:$T$6,0))</f>
        <v>1.0489296636085627E-2</v>
      </c>
      <c r="N111" s="260">
        <f>INDEX('Plant Operations'!$B$6:$T$62,MATCH(PS!$C111,'Plant Operations'!$B$6:$B$62,0),MATCH(PS!N$7,'Plant Operations'!$B$6:$T$6,0))</f>
        <v>1.0489296636085627E-2</v>
      </c>
      <c r="O111" s="260">
        <f>INDEX('Plant Operations'!$B$6:$T$62,MATCH(PS!$C111,'Plant Operations'!$B$6:$B$62,0),MATCH(PS!O$7,'Plant Operations'!$B$6:$T$6,0))</f>
        <v>2.804610318331504E-2</v>
      </c>
      <c r="P111" s="260" t="e">
        <f>INDEX('Plant Operations'!$B$6:$T$62,MATCH(PS!$C111,'Plant Operations'!$B$6:$B$62,0),MATCH(PS!P$7,'Plant Operations'!$B$6:$T$6,0))</f>
        <v>#N/A</v>
      </c>
      <c r="Q111" s="216" t="s">
        <v>903</v>
      </c>
    </row>
    <row r="112" spans="1:17" ht="15" customHeight="1" x14ac:dyDescent="0.25">
      <c r="A112">
        <f t="shared" si="15"/>
        <v>109</v>
      </c>
      <c r="B112" t="str">
        <f t="shared" si="17"/>
        <v>mass_nat</v>
      </c>
      <c r="C112" s="218" t="s">
        <v>842</v>
      </c>
      <c r="D112" s="215">
        <f t="shared" si="16"/>
        <v>0.58606672645013047</v>
      </c>
      <c r="E112" s="260">
        <f>HLOOKUP(E$7,Aggregate!$N$5:$X$10,6,FALSE)*(E$23+E$22)</f>
        <v>0.58606672645013047</v>
      </c>
      <c r="F112" s="260">
        <f>HLOOKUP(F$7,Aggregate!$N$5:$X$10,6,FALSE)*(F$23+F$22)</f>
        <v>0.60536294158289128</v>
      </c>
      <c r="G112" s="260">
        <f>HLOOKUP(G$7,Aggregate!$N$5:$X$10,6,FALSE)*(G$23+G$22)</f>
        <v>0.65237618822192123</v>
      </c>
      <c r="H112" s="260">
        <f>HLOOKUP(H$7,Aggregate!$N$5:$X$10,6,FALSE)*(H$23+H$22)</f>
        <v>0.67893041391832465</v>
      </c>
      <c r="I112" s="260">
        <f>HLOOKUP(I$7,Aggregate!$N$5:$X$10,6,FALSE)*(I$23+I$22)</f>
        <v>0.69708281416832141</v>
      </c>
      <c r="J112" s="260">
        <f>HLOOKUP(J$7,Aggregate!$N$5:$X$10,6,FALSE)*(J$23+J$22)</f>
        <v>0.71511081798301945</v>
      </c>
      <c r="K112" s="260">
        <f>HLOOKUP(K$7,Aggregate!$N$5:$X$10,6,FALSE)*(K$23+K$22)</f>
        <v>0.71511081798301945</v>
      </c>
      <c r="L112" s="260">
        <f>HLOOKUP(L$7,Aggregate!$N$5:$X$10,6,FALSE)*(L$23+L$22)</f>
        <v>0.71511081798301945</v>
      </c>
      <c r="M112" s="260">
        <f>HLOOKUP(M$7,Aggregate!$N$5:$X$10,6,FALSE)*(M$23+M$22)</f>
        <v>0.71511081798301945</v>
      </c>
      <c r="N112" s="260">
        <f>HLOOKUP(N$7,Aggregate!$N$5:$X$10,6,FALSE)*(N$23+N$22)</f>
        <v>0.71511081798301945</v>
      </c>
      <c r="O112" s="260">
        <f>HLOOKUP(O$7,Aggregate!$N$5:$X$10,6,FALSE)*(O$23+O$22)</f>
        <v>0.78535718905302088</v>
      </c>
      <c r="P112" s="260" t="e">
        <f>HLOOKUP(P$7,Aggregate!$N$5:$X$10,6,FALSE)*(P$23+P$22)</f>
        <v>#N/A</v>
      </c>
      <c r="Q112" s="216" t="s">
        <v>991</v>
      </c>
    </row>
    <row r="113" spans="1:17" ht="15" customHeight="1" x14ac:dyDescent="0.25">
      <c r="A113">
        <f t="shared" si="15"/>
        <v>110</v>
      </c>
      <c r="B113" t="str">
        <f t="shared" si="17"/>
        <v>mass_man</v>
      </c>
      <c r="C113" s="218" t="s">
        <v>843</v>
      </c>
      <c r="D113" s="215">
        <f t="shared" si="16"/>
        <v>0.11480663599528441</v>
      </c>
      <c r="E113" s="260">
        <f>HLOOKUP(E$7,Aggregate!$AL$5:$AV$11,7,FALSE)*(E$23+E$22)</f>
        <v>0.11480663599528441</v>
      </c>
      <c r="F113" s="260">
        <f>HLOOKUP(F$7,Aggregate!$AL$5:$AV$11,7,FALSE)*(F$23+F$22)</f>
        <v>0.11858663824904156</v>
      </c>
      <c r="G113" s="260">
        <f>HLOOKUP(G$7,Aggregate!$AL$5:$AV$11,7,FALSE)*(G$23+G$22)</f>
        <v>0.12779622557118228</v>
      </c>
      <c r="H113" s="260">
        <f>HLOOKUP(H$7,Aggregate!$AL$5:$AV$11,7,FALSE)*(H$23+H$22)</f>
        <v>0.12233540886648551</v>
      </c>
      <c r="I113" s="260">
        <f>HLOOKUP(I$7,Aggregate!$AL$5:$AV$11,7,FALSE)*(I$23+I$22)</f>
        <v>0.12560626146193074</v>
      </c>
      <c r="J113" s="260">
        <f>HLOOKUP(J$7,Aggregate!$AL$5:$AV$11,7,FALSE)*(J$23+J$22)</f>
        <v>0.12885469925835999</v>
      </c>
      <c r="K113" s="260">
        <f>HLOOKUP(K$7,Aggregate!$AL$5:$AV$11,7,FALSE)*(K$23+K$22)</f>
        <v>0.12885469925835999</v>
      </c>
      <c r="L113" s="260">
        <f>HLOOKUP(L$7,Aggregate!$AL$5:$AV$11,7,FALSE)*(L$23+L$22)</f>
        <v>0.12885469925835999</v>
      </c>
      <c r="M113" s="260">
        <f>HLOOKUP(M$7,Aggregate!$AL$5:$AV$11,7,FALSE)*(M$23+M$22)</f>
        <v>0.12885469925835999</v>
      </c>
      <c r="N113" s="260">
        <f>HLOOKUP(N$7,Aggregate!$AL$5:$AV$11,7,FALSE)*(N$23+N$22)</f>
        <v>0.12885469925835999</v>
      </c>
      <c r="O113" s="260">
        <f>HLOOKUP(O$7,Aggregate!$AL$5:$AV$11,7,FALSE)*(O$23+O$22)</f>
        <v>6.7551702275189904E-2</v>
      </c>
      <c r="P113" s="260" t="e">
        <f>HLOOKUP(P$7,Aggregate!$AL$5:$AV$11,7,FALSE)*(P$23+P$22)</f>
        <v>#N/A</v>
      </c>
      <c r="Q113" s="216" t="s">
        <v>992</v>
      </c>
    </row>
    <row r="114" spans="1:17" ht="15" customHeight="1" x14ac:dyDescent="0.25">
      <c r="A114">
        <f t="shared" si="15"/>
        <v>111</v>
      </c>
      <c r="B114" t="str">
        <f t="shared" si="17"/>
        <v>gasoline</v>
      </c>
      <c r="C114" s="218" t="s">
        <v>693</v>
      </c>
      <c r="D114" s="215">
        <f t="shared" si="16"/>
        <v>1.2785689521183054E-5</v>
      </c>
      <c r="E114" s="260">
        <f>(E$112*VLOOKUP($C114,Aggregate!$B$14:$AW$65,24,FALSE)+E$113*VLOOKUP($C114,Aggregate!$B$14:$AW$65,48,FALSE))</f>
        <v>1.2785689521183054E-5</v>
      </c>
      <c r="F114" s="260">
        <f>(F$112*VLOOKUP($C114,Aggregate!$B$14:$AW$65,24,FALSE)+F$113*VLOOKUP($C114,Aggregate!$B$14:$AW$65,48,FALSE))</f>
        <v>1.3206657654139204E-5</v>
      </c>
      <c r="G114" s="260">
        <f>(G$112*VLOOKUP($C114,Aggregate!$B$14:$AW$65,24,FALSE)+G$113*VLOOKUP($C114,Aggregate!$B$14:$AW$65,48,FALSE))</f>
        <v>1.4232303280790537E-5</v>
      </c>
      <c r="H114" s="260">
        <f>(H$112*VLOOKUP($C114,Aggregate!$B$14:$AW$65,24,FALSE)+H$113*VLOOKUP($C114,Aggregate!$B$14:$AW$65,48,FALSE))</f>
        <v>1.451095653083113E-5</v>
      </c>
      <c r="I114" s="260">
        <f>(I$112*VLOOKUP($C114,Aggregate!$B$14:$AW$65,24,FALSE)+I$113*VLOOKUP($C114,Aggregate!$B$14:$AW$65,48,FALSE))</f>
        <v>1.4898932508277385E-5</v>
      </c>
      <c r="J114" s="260">
        <f>(J$112*VLOOKUP($C114,Aggregate!$B$14:$AW$65,24,FALSE)+J$113*VLOOKUP($C114,Aggregate!$B$14:$AW$65,48,FALSE))</f>
        <v>1.5284249728319043E-5</v>
      </c>
      <c r="K114" s="260">
        <f>(K$112*VLOOKUP($C114,Aggregate!$B$14:$AW$65,24,FALSE)+K$113*VLOOKUP($C114,Aggregate!$B$14:$AW$65,48,FALSE))</f>
        <v>1.5284249728319043E-5</v>
      </c>
      <c r="L114" s="260">
        <f>(L$112*VLOOKUP($C114,Aggregate!$B$14:$AW$65,24,FALSE)+L$113*VLOOKUP($C114,Aggregate!$B$14:$AW$65,48,FALSE))</f>
        <v>1.5284249728319043E-5</v>
      </c>
      <c r="M114" s="260">
        <f>(M$112*VLOOKUP($C114,Aggregate!$B$14:$AW$65,24,FALSE)+M$113*VLOOKUP($C114,Aggregate!$B$14:$AW$65,48,FALSE))</f>
        <v>1.5284249728319043E-5</v>
      </c>
      <c r="N114" s="260">
        <f>(N$112*VLOOKUP($C114,Aggregate!$B$14:$AW$65,24,FALSE)+N$113*VLOOKUP($C114,Aggregate!$B$14:$AW$65,48,FALSE))</f>
        <v>1.5284249728319043E-5</v>
      </c>
      <c r="O114" s="260">
        <f>(O$112*VLOOKUP($C114,Aggregate!$B$14:$AW$65,24,FALSE)+O$113*VLOOKUP($C114,Aggregate!$B$14:$AW$65,48,FALSE))</f>
        <v>1.4700159308096234E-5</v>
      </c>
      <c r="P114" s="260" t="e">
        <f>(P$112*VLOOKUP($C114,Aggregate!$B$14:$AW$65,24,FALSE)+P$113*VLOOKUP($C114,Aggregate!$B$14:$AW$65,48,FALSE))</f>
        <v>#N/A</v>
      </c>
      <c r="Q114" s="216" t="s">
        <v>1026</v>
      </c>
    </row>
    <row r="115" spans="1:17" ht="15" customHeight="1" x14ac:dyDescent="0.25">
      <c r="A115">
        <f t="shared" si="15"/>
        <v>112</v>
      </c>
      <c r="B115" t="str">
        <f t="shared" si="17"/>
        <v>distillate</v>
      </c>
      <c r="C115" s="218" t="s">
        <v>694</v>
      </c>
      <c r="D115" s="215">
        <f t="shared" si="16"/>
        <v>1.5843816188173079E-4</v>
      </c>
      <c r="E115" s="260">
        <f>(E$112*VLOOKUP($C115,Aggregate!$B$14:$AW$65,24,FALSE)+E$113*VLOOKUP($C115,Aggregate!$B$14:$AW$65,48,FALSE))</f>
        <v>1.5843816188173079E-4</v>
      </c>
      <c r="F115" s="260">
        <f>(F$112*VLOOKUP($C115,Aggregate!$B$14:$AW$65,24,FALSE)+F$113*VLOOKUP($C115,Aggregate!$B$14:$AW$65,48,FALSE))</f>
        <v>1.6365472975520009E-4</v>
      </c>
      <c r="G115" s="260">
        <f>(G$112*VLOOKUP($C115,Aggregate!$B$14:$AW$65,24,FALSE)+G$113*VLOOKUP($C115,Aggregate!$B$14:$AW$65,48,FALSE))</f>
        <v>1.7636436168857721E-4</v>
      </c>
      <c r="H115" s="260">
        <f>(H$112*VLOOKUP($C115,Aggregate!$B$14:$AW$65,24,FALSE)+H$113*VLOOKUP($C115,Aggregate!$B$14:$AW$65,48,FALSE))</f>
        <v>1.7993537743651433E-4</v>
      </c>
      <c r="I115" s="260">
        <f>(I$112*VLOOKUP($C115,Aggregate!$B$14:$AW$65,24,FALSE)+I$113*VLOOKUP($C115,Aggregate!$B$14:$AW$65,48,FALSE))</f>
        <v>1.847462666283996E-4</v>
      </c>
      <c r="J115" s="260">
        <f>(J$112*VLOOKUP($C115,Aggregate!$B$14:$AW$65,24,FALSE)+J$113*VLOOKUP($C115,Aggregate!$B$14:$AW$65,48,FALSE))</f>
        <v>1.8952418731706512E-4</v>
      </c>
      <c r="K115" s="260">
        <f>(K$112*VLOOKUP($C115,Aggregate!$B$14:$AW$65,24,FALSE)+K$113*VLOOKUP($C115,Aggregate!$B$14:$AW$65,48,FALSE))</f>
        <v>1.8952418731706512E-4</v>
      </c>
      <c r="L115" s="260">
        <f>(L$112*VLOOKUP($C115,Aggregate!$B$14:$AW$65,24,FALSE)+L$113*VLOOKUP($C115,Aggregate!$B$14:$AW$65,48,FALSE))</f>
        <v>1.8952418731706512E-4</v>
      </c>
      <c r="M115" s="260">
        <f>(M$112*VLOOKUP($C115,Aggregate!$B$14:$AW$65,24,FALSE)+M$113*VLOOKUP($C115,Aggregate!$B$14:$AW$65,48,FALSE))</f>
        <v>1.8952418731706512E-4</v>
      </c>
      <c r="N115" s="260">
        <f>(N$112*VLOOKUP($C115,Aggregate!$B$14:$AW$65,24,FALSE)+N$113*VLOOKUP($C115,Aggregate!$B$14:$AW$65,48,FALSE))</f>
        <v>1.8952418731706512E-4</v>
      </c>
      <c r="O115" s="260">
        <f>(O$112*VLOOKUP($C115,Aggregate!$B$14:$AW$65,24,FALSE)+O$113*VLOOKUP($C115,Aggregate!$B$14:$AW$65,48,FALSE))</f>
        <v>1.8311687678665832E-4</v>
      </c>
      <c r="P115" s="260" t="e">
        <f>(P$112*VLOOKUP($C115,Aggregate!$B$14:$AW$65,24,FALSE)+P$113*VLOOKUP($C115,Aggregate!$B$14:$AW$65,48,FALSE))</f>
        <v>#N/A</v>
      </c>
      <c r="Q115" s="216" t="s">
        <v>1027</v>
      </c>
    </row>
    <row r="116" spans="1:17" ht="15" customHeight="1" x14ac:dyDescent="0.25">
      <c r="A116">
        <f t="shared" si="15"/>
        <v>113</v>
      </c>
      <c r="B116" t="str">
        <f t="shared" si="17"/>
        <v>nat_gas</v>
      </c>
      <c r="C116" s="218" t="s">
        <v>695</v>
      </c>
      <c r="D116" s="215">
        <f t="shared" si="16"/>
        <v>2.9410982628504431E-5</v>
      </c>
      <c r="E116" s="260">
        <f>(E$112*VLOOKUP($C116,Aggregate!$B$14:$AW$65,24,FALSE)+E$113*VLOOKUP($C116,Aggregate!$B$14:$AW$65,48,FALSE))</f>
        <v>2.9410982628504431E-5</v>
      </c>
      <c r="F116" s="260">
        <f>(F$112*VLOOKUP($C116,Aggregate!$B$14:$AW$65,24,FALSE)+F$113*VLOOKUP($C116,Aggregate!$B$14:$AW$65,48,FALSE))</f>
        <v>3.037933763392002E-5</v>
      </c>
      <c r="G116" s="260">
        <f>(G$112*VLOOKUP($C116,Aggregate!$B$14:$AW$65,24,FALSE)+G$113*VLOOKUP($C116,Aggregate!$B$14:$AW$65,48,FALSE))</f>
        <v>3.2738635164058438E-5</v>
      </c>
      <c r="H116" s="260">
        <f>(H$112*VLOOKUP($C116,Aggregate!$B$14:$AW$65,24,FALSE)+H$113*VLOOKUP($C116,Aggregate!$B$14:$AW$65,48,FALSE))</f>
        <v>3.3152833981566115E-5</v>
      </c>
      <c r="I116" s="260">
        <f>(I$112*VLOOKUP($C116,Aggregate!$B$14:$AW$65,24,FALSE)+I$113*VLOOKUP($C116,Aggregate!$B$14:$AW$65,48,FALSE))</f>
        <v>3.4039233382031742E-5</v>
      </c>
      <c r="J116" s="260">
        <f>(J$112*VLOOKUP($C116,Aggregate!$B$14:$AW$65,24,FALSE)+J$113*VLOOKUP($C116,Aggregate!$B$14:$AW$65,48,FALSE))</f>
        <v>3.4919558383291193E-5</v>
      </c>
      <c r="K116" s="260">
        <f>(K$112*VLOOKUP($C116,Aggregate!$B$14:$AW$65,24,FALSE)+K$113*VLOOKUP($C116,Aggregate!$B$14:$AW$65,48,FALSE))</f>
        <v>3.4919558383291193E-5</v>
      </c>
      <c r="L116" s="260">
        <f>(L$112*VLOOKUP($C116,Aggregate!$B$14:$AW$65,24,FALSE)+L$113*VLOOKUP($C116,Aggregate!$B$14:$AW$65,48,FALSE))</f>
        <v>3.4919558383291193E-5</v>
      </c>
      <c r="M116" s="260">
        <f>(M$112*VLOOKUP($C116,Aggregate!$B$14:$AW$65,24,FALSE)+M$113*VLOOKUP($C116,Aggregate!$B$14:$AW$65,48,FALSE))</f>
        <v>3.4919558383291193E-5</v>
      </c>
      <c r="N116" s="260">
        <f>(N$112*VLOOKUP($C116,Aggregate!$B$14:$AW$65,24,FALSE)+N$113*VLOOKUP($C116,Aggregate!$B$14:$AW$65,48,FALSE))</f>
        <v>3.4919558383291193E-5</v>
      </c>
      <c r="O116" s="260">
        <f>(O$112*VLOOKUP($C116,Aggregate!$B$14:$AW$65,24,FALSE)+O$113*VLOOKUP($C116,Aggregate!$B$14:$AW$65,48,FALSE))</f>
        <v>3.1979402328205981E-5</v>
      </c>
      <c r="P116" s="260" t="e">
        <f>(P$112*VLOOKUP($C116,Aggregate!$B$14:$AW$65,24,FALSE)+P$113*VLOOKUP($C116,Aggregate!$B$14:$AW$65,48,FALSE))</f>
        <v>#N/A</v>
      </c>
      <c r="Q116" s="216" t="s">
        <v>1028</v>
      </c>
    </row>
    <row r="117" spans="1:17" ht="15" customHeight="1" x14ac:dyDescent="0.25">
      <c r="A117">
        <f t="shared" si="15"/>
        <v>114</v>
      </c>
      <c r="B117" t="str">
        <f t="shared" si="17"/>
        <v>res_oil</v>
      </c>
      <c r="C117" s="218" t="s">
        <v>681</v>
      </c>
      <c r="D117" s="215">
        <f t="shared" si="16"/>
        <v>3.3038682408022151E-5</v>
      </c>
      <c r="E117" s="260">
        <f>(E$112*VLOOKUP($C117,Aggregate!$B$14:$AW$65,24,FALSE)+E$113*VLOOKUP($C117,Aggregate!$B$14:$AW$65,48,FALSE))</f>
        <v>3.3038682408022151E-5</v>
      </c>
      <c r="F117" s="260">
        <f>(F$112*VLOOKUP($C117,Aggregate!$B$14:$AW$65,24,FALSE)+F$113*VLOOKUP($C117,Aggregate!$B$14:$AW$65,48,FALSE))</f>
        <v>3.4126479231618823E-5</v>
      </c>
      <c r="G117" s="260">
        <f>(G$112*VLOOKUP($C117,Aggregate!$B$14:$AW$65,24,FALSE)+G$113*VLOOKUP($C117,Aggregate!$B$14:$AW$65,48,FALSE))</f>
        <v>3.6776784486252822E-5</v>
      </c>
      <c r="H117" s="260">
        <f>(H$112*VLOOKUP($C117,Aggregate!$B$14:$AW$65,24,FALSE)+H$113*VLOOKUP($C117,Aggregate!$B$14:$AW$65,48,FALSE))</f>
        <v>3.7710586881360753E-5</v>
      </c>
      <c r="I117" s="260">
        <f>(I$112*VLOOKUP($C117,Aggregate!$B$14:$AW$65,24,FALSE)+I$113*VLOOKUP($C117,Aggregate!$B$14:$AW$65,48,FALSE))</f>
        <v>3.8718845832056526E-5</v>
      </c>
      <c r="J117" s="260">
        <f>(J$112*VLOOKUP($C117,Aggregate!$B$14:$AW$65,24,FALSE)+J$113*VLOOKUP($C117,Aggregate!$B$14:$AW$65,48,FALSE))</f>
        <v>3.9720195293230405E-5</v>
      </c>
      <c r="K117" s="260">
        <f>(K$112*VLOOKUP($C117,Aggregate!$B$14:$AW$65,24,FALSE)+K$113*VLOOKUP($C117,Aggregate!$B$14:$AW$65,48,FALSE))</f>
        <v>3.9720195293230405E-5</v>
      </c>
      <c r="L117" s="260">
        <f>(L$112*VLOOKUP($C117,Aggregate!$B$14:$AW$65,24,FALSE)+L$113*VLOOKUP($C117,Aggregate!$B$14:$AW$65,48,FALSE))</f>
        <v>3.9720195293230405E-5</v>
      </c>
      <c r="M117" s="260">
        <f>(M$112*VLOOKUP($C117,Aggregate!$B$14:$AW$65,24,FALSE)+M$113*VLOOKUP($C117,Aggregate!$B$14:$AW$65,48,FALSE))</f>
        <v>3.9720195293230405E-5</v>
      </c>
      <c r="N117" s="260">
        <f>(N$112*VLOOKUP($C117,Aggregate!$B$14:$AW$65,24,FALSE)+N$113*VLOOKUP($C117,Aggregate!$B$14:$AW$65,48,FALSE))</f>
        <v>3.9720195293230405E-5</v>
      </c>
      <c r="O117" s="260">
        <f>(O$112*VLOOKUP($C117,Aggregate!$B$14:$AW$65,24,FALSE)+O$113*VLOOKUP($C117,Aggregate!$B$14:$AW$65,48,FALSE))</f>
        <v>3.9715680878237704E-5</v>
      </c>
      <c r="P117" s="260" t="e">
        <f>(P$112*VLOOKUP($C117,Aggregate!$B$14:$AW$65,24,FALSE)+P$113*VLOOKUP($C117,Aggregate!$B$14:$AW$65,48,FALSE))</f>
        <v>#N/A</v>
      </c>
      <c r="Q117" s="216" t="s">
        <v>1029</v>
      </c>
    </row>
    <row r="118" spans="1:17" ht="15" customHeight="1" x14ac:dyDescent="0.25">
      <c r="A118">
        <f t="shared" si="15"/>
        <v>115</v>
      </c>
      <c r="B118" t="str">
        <f t="shared" si="17"/>
        <v>electric</v>
      </c>
      <c r="C118" s="218" t="s">
        <v>696</v>
      </c>
      <c r="D118" s="215">
        <f t="shared" si="16"/>
        <v>1.9465946508160352E-3</v>
      </c>
      <c r="E118" s="260">
        <f>(E$112*VLOOKUP($C118,Aggregate!$B$14:$AW$65,24,FALSE)+E$113*VLOOKUP($C118,Aggregate!$B$14:$AW$65,48,FALSE))</f>
        <v>1.9465946508160352E-3</v>
      </c>
      <c r="F118" s="260">
        <f>(F$112*VLOOKUP($C118,Aggregate!$B$14:$AW$65,24,FALSE)+F$113*VLOOKUP($C118,Aggregate!$B$14:$AW$65,48,FALSE))</f>
        <v>2.0106861739535866E-3</v>
      </c>
      <c r="G118" s="260">
        <f>(G$112*VLOOKUP($C118,Aggregate!$B$14:$AW$65,24,FALSE)+G$113*VLOOKUP($C118,Aggregate!$B$14:$AW$65,48,FALSE))</f>
        <v>2.1668385885077303E-3</v>
      </c>
      <c r="H118" s="260">
        <f>(H$112*VLOOKUP($C118,Aggregate!$B$14:$AW$65,24,FALSE)+H$113*VLOOKUP($C118,Aggregate!$B$14:$AW$65,48,FALSE))</f>
        <v>2.2186626951190406E-3</v>
      </c>
      <c r="I118" s="260">
        <f>(I$112*VLOOKUP($C118,Aggregate!$B$14:$AW$65,24,FALSE)+I$113*VLOOKUP($C118,Aggregate!$B$14:$AW$65,48,FALSE))</f>
        <v>2.2779825494603756E-3</v>
      </c>
      <c r="J118" s="260">
        <f>(J$112*VLOOKUP($C118,Aggregate!$B$14:$AW$65,24,FALSE)+J$113*VLOOKUP($C118,Aggregate!$B$14:$AW$65,48,FALSE))</f>
        <v>2.3368958912567649E-3</v>
      </c>
      <c r="K118" s="260">
        <f>(K$112*VLOOKUP($C118,Aggregate!$B$14:$AW$65,24,FALSE)+K$113*VLOOKUP($C118,Aggregate!$B$14:$AW$65,48,FALSE))</f>
        <v>2.3368958912567649E-3</v>
      </c>
      <c r="L118" s="260">
        <f>(L$112*VLOOKUP($C118,Aggregate!$B$14:$AW$65,24,FALSE)+L$113*VLOOKUP($C118,Aggregate!$B$14:$AW$65,48,FALSE))</f>
        <v>2.3368958912567649E-3</v>
      </c>
      <c r="M118" s="260">
        <f>(M$112*VLOOKUP($C118,Aggregate!$B$14:$AW$65,24,FALSE)+M$113*VLOOKUP($C118,Aggregate!$B$14:$AW$65,48,FALSE))</f>
        <v>2.3368958912567649E-3</v>
      </c>
      <c r="N118" s="260">
        <f>(N$112*VLOOKUP($C118,Aggregate!$B$14:$AW$65,24,FALSE)+N$113*VLOOKUP($C118,Aggregate!$B$14:$AW$65,48,FALSE))</f>
        <v>2.3368958912567649E-3</v>
      </c>
      <c r="O118" s="260">
        <f>(O$112*VLOOKUP($C118,Aggregate!$B$14:$AW$65,24,FALSE)+O$113*VLOOKUP($C118,Aggregate!$B$14:$AW$65,48,FALSE))</f>
        <v>2.314142534648525E-3</v>
      </c>
      <c r="P118" s="260" t="e">
        <f>(P$112*VLOOKUP($C118,Aggregate!$B$14:$AW$65,24,FALSE)+P$113*VLOOKUP($C118,Aggregate!$B$14:$AW$65,48,FALSE))</f>
        <v>#N/A</v>
      </c>
      <c r="Q118" s="216" t="s">
        <v>1030</v>
      </c>
    </row>
    <row r="119" spans="1:17" ht="15" customHeight="1" x14ac:dyDescent="0.25">
      <c r="A119">
        <f t="shared" si="15"/>
        <v>116</v>
      </c>
      <c r="B119" t="str">
        <f t="shared" si="17"/>
        <v>chlor_wat</v>
      </c>
      <c r="C119" s="218" t="s">
        <v>697</v>
      </c>
      <c r="D119" s="215">
        <f t="shared" si="16"/>
        <v>3.2424319566209187E-13</v>
      </c>
      <c r="E119" s="260">
        <f>(E$112*VLOOKUP($C119,Aggregate!$B$14:$AW$65,24,FALSE)+E$113*VLOOKUP($C119,Aggregate!$B$14:$AW$65,48,FALSE))</f>
        <v>3.2424319566209187E-13</v>
      </c>
      <c r="F119" s="260">
        <f>(F$112*VLOOKUP($C119,Aggregate!$B$14:$AW$65,24,FALSE)+F$113*VLOOKUP($C119,Aggregate!$B$14:$AW$65,48,FALSE))</f>
        <v>3.349188852661185E-13</v>
      </c>
      <c r="G119" s="260">
        <f>(G$112*VLOOKUP($C119,Aggregate!$B$14:$AW$65,24,FALSE)+G$113*VLOOKUP($C119,Aggregate!$B$14:$AW$65,48,FALSE))</f>
        <v>3.6092910669776684E-13</v>
      </c>
      <c r="H119" s="260">
        <f>(H$112*VLOOKUP($C119,Aggregate!$B$14:$AW$65,24,FALSE)+H$113*VLOOKUP($C119,Aggregate!$B$14:$AW$65,48,FALSE))</f>
        <v>3.7008998436094599E-13</v>
      </c>
      <c r="I119" s="260">
        <f>(I$112*VLOOKUP($C119,Aggregate!$B$14:$AW$65,24,FALSE)+I$113*VLOOKUP($C119,Aggregate!$B$14:$AW$65,48,FALSE))</f>
        <v>3.7998499184170247E-13</v>
      </c>
      <c r="J119" s="260">
        <f>(J$112*VLOOKUP($C119,Aggregate!$B$14:$AW$65,24,FALSE)+J$113*VLOOKUP($C119,Aggregate!$B$14:$AW$65,48,FALSE))</f>
        <v>3.8981218990657413E-13</v>
      </c>
      <c r="K119" s="260">
        <f>(K$112*VLOOKUP($C119,Aggregate!$B$14:$AW$65,24,FALSE)+K$113*VLOOKUP($C119,Aggregate!$B$14:$AW$65,48,FALSE))</f>
        <v>3.8981218990657413E-13</v>
      </c>
      <c r="L119" s="260">
        <f>(L$112*VLOOKUP($C119,Aggregate!$B$14:$AW$65,24,FALSE)+L$113*VLOOKUP($C119,Aggregate!$B$14:$AW$65,48,FALSE))</f>
        <v>3.8981218990657413E-13</v>
      </c>
      <c r="M119" s="260">
        <f>(M$112*VLOOKUP($C119,Aggregate!$B$14:$AW$65,24,FALSE)+M$113*VLOOKUP($C119,Aggregate!$B$14:$AW$65,48,FALSE))</f>
        <v>3.8981218990657413E-13</v>
      </c>
      <c r="N119" s="260">
        <f>(N$112*VLOOKUP($C119,Aggregate!$B$14:$AW$65,24,FALSE)+N$113*VLOOKUP($C119,Aggregate!$B$14:$AW$65,48,FALSE))</f>
        <v>3.8981218990657413E-13</v>
      </c>
      <c r="O119" s="260">
        <f>(O$112*VLOOKUP($C119,Aggregate!$B$14:$AW$65,24,FALSE)+O$113*VLOOKUP($C119,Aggregate!$B$14:$AW$65,48,FALSE))</f>
        <v>3.8974322219729727E-13</v>
      </c>
      <c r="P119" s="260" t="e">
        <f>(P$112*VLOOKUP($C119,Aggregate!$B$14:$AW$65,24,FALSE)+P$113*VLOOKUP($C119,Aggregate!$B$14:$AW$65,48,FALSE))</f>
        <v>#N/A</v>
      </c>
      <c r="Q119" s="216" t="s">
        <v>904</v>
      </c>
    </row>
    <row r="120" spans="1:17" ht="15" customHeight="1" x14ac:dyDescent="0.25">
      <c r="A120">
        <f t="shared" si="15"/>
        <v>117</v>
      </c>
      <c r="B120" t="str">
        <f t="shared" si="17"/>
        <v>cu_to_wat</v>
      </c>
      <c r="C120" s="218" t="s">
        <v>698</v>
      </c>
      <c r="D120" s="215">
        <f t="shared" si="16"/>
        <v>1.6211779636876308E-12</v>
      </c>
      <c r="E120" s="260">
        <f>(E$112*VLOOKUP($C120,Aggregate!$B$14:$AW$65,24,FALSE)+E$113*VLOOKUP($C120,Aggregate!$B$14:$AW$65,48,FALSE))</f>
        <v>1.6211779636876308E-12</v>
      </c>
      <c r="F120" s="260">
        <f>(F$112*VLOOKUP($C120,Aggregate!$B$14:$AW$65,24,FALSE)+F$113*VLOOKUP($C120,Aggregate!$B$14:$AW$65,48,FALSE))</f>
        <v>1.6745551600783723E-12</v>
      </c>
      <c r="G120" s="260">
        <f>(G$112*VLOOKUP($C120,Aggregate!$B$14:$AW$65,24,FALSE)+G$113*VLOOKUP($C120,Aggregate!$B$14:$AW$65,48,FALSE))</f>
        <v>1.8046032177701315E-12</v>
      </c>
      <c r="H120" s="260">
        <f>(H$112*VLOOKUP($C120,Aggregate!$B$14:$AW$65,24,FALSE)+H$113*VLOOKUP($C120,Aggregate!$B$14:$AW$65,48,FALSE))</f>
        <v>1.8504129849823277E-12</v>
      </c>
      <c r="I120" s="260">
        <f>(I$112*VLOOKUP($C120,Aggregate!$B$14:$AW$65,24,FALSE)+I$113*VLOOKUP($C120,Aggregate!$B$14:$AW$65,48,FALSE))</f>
        <v>1.8998870348151157E-12</v>
      </c>
      <c r="J120" s="260">
        <f>(J$112*VLOOKUP($C120,Aggregate!$B$14:$AW$65,24,FALSE)+J$113*VLOOKUP($C120,Aggregate!$B$14:$AW$65,48,FALSE))</f>
        <v>1.9490220443361963E-12</v>
      </c>
      <c r="K120" s="260">
        <f>(K$112*VLOOKUP($C120,Aggregate!$B$14:$AW$65,24,FALSE)+K$113*VLOOKUP($C120,Aggregate!$B$14:$AW$65,48,FALSE))</f>
        <v>1.9490220443361963E-12</v>
      </c>
      <c r="L120" s="260">
        <f>(L$112*VLOOKUP($C120,Aggregate!$B$14:$AW$65,24,FALSE)+L$113*VLOOKUP($C120,Aggregate!$B$14:$AW$65,48,FALSE))</f>
        <v>1.9490220443361963E-12</v>
      </c>
      <c r="M120" s="260">
        <f>(M$112*VLOOKUP($C120,Aggregate!$B$14:$AW$65,24,FALSE)+M$113*VLOOKUP($C120,Aggregate!$B$14:$AW$65,48,FALSE))</f>
        <v>1.9490220443361963E-12</v>
      </c>
      <c r="N120" s="260">
        <f>(N$112*VLOOKUP($C120,Aggregate!$B$14:$AW$65,24,FALSE)+N$113*VLOOKUP($C120,Aggregate!$B$14:$AW$65,48,FALSE))</f>
        <v>1.9490220443361963E-12</v>
      </c>
      <c r="O120" s="260">
        <f>(O$112*VLOOKUP($C120,Aggregate!$B$14:$AW$65,24,FALSE)+O$113*VLOOKUP($C120,Aggregate!$B$14:$AW$65,48,FALSE))</f>
        <v>1.9487226418719905E-12</v>
      </c>
      <c r="P120" s="260" t="e">
        <f>(P$112*VLOOKUP($C120,Aggregate!$B$14:$AW$65,24,FALSE)+P$113*VLOOKUP($C120,Aggregate!$B$14:$AW$65,48,FALSE))</f>
        <v>#N/A</v>
      </c>
      <c r="Q120" s="216" t="s">
        <v>905</v>
      </c>
    </row>
    <row r="121" spans="1:17" ht="15" customHeight="1" x14ac:dyDescent="0.25">
      <c r="A121">
        <f t="shared" si="15"/>
        <v>118</v>
      </c>
      <c r="B121" t="str">
        <f t="shared" si="17"/>
        <v>Fe_to_wat</v>
      </c>
      <c r="C121" s="218" t="s">
        <v>699</v>
      </c>
      <c r="D121" s="215">
        <f t="shared" ref="D121:D152" si="18">HLOOKUP($D$4,$E$4:$P$221,A121,FALSE)</f>
        <v>1.6211779636876308E-12</v>
      </c>
      <c r="E121" s="260">
        <f>(E$112*VLOOKUP($C121,Aggregate!$B$14:$AW$65,24,FALSE)+E$113*VLOOKUP($C121,Aggregate!$B$14:$AW$65,48,FALSE))</f>
        <v>1.6211779636876308E-12</v>
      </c>
      <c r="F121" s="260">
        <f>(F$112*VLOOKUP($C121,Aggregate!$B$14:$AW$65,24,FALSE)+F$113*VLOOKUP($C121,Aggregate!$B$14:$AW$65,48,FALSE))</f>
        <v>1.6745551600783723E-12</v>
      </c>
      <c r="G121" s="260">
        <f>(G$112*VLOOKUP($C121,Aggregate!$B$14:$AW$65,24,FALSE)+G$113*VLOOKUP($C121,Aggregate!$B$14:$AW$65,48,FALSE))</f>
        <v>1.8046032177701315E-12</v>
      </c>
      <c r="H121" s="260">
        <f>(H$112*VLOOKUP($C121,Aggregate!$B$14:$AW$65,24,FALSE)+H$113*VLOOKUP($C121,Aggregate!$B$14:$AW$65,48,FALSE))</f>
        <v>1.8504129849823277E-12</v>
      </c>
      <c r="I121" s="260">
        <f>(I$112*VLOOKUP($C121,Aggregate!$B$14:$AW$65,24,FALSE)+I$113*VLOOKUP($C121,Aggregate!$B$14:$AW$65,48,FALSE))</f>
        <v>1.8998870348151157E-12</v>
      </c>
      <c r="J121" s="260">
        <f>(J$112*VLOOKUP($C121,Aggregate!$B$14:$AW$65,24,FALSE)+J$113*VLOOKUP($C121,Aggregate!$B$14:$AW$65,48,FALSE))</f>
        <v>1.9490220443361963E-12</v>
      </c>
      <c r="K121" s="260">
        <f>(K$112*VLOOKUP($C121,Aggregate!$B$14:$AW$65,24,FALSE)+K$113*VLOOKUP($C121,Aggregate!$B$14:$AW$65,48,FALSE))</f>
        <v>1.9490220443361963E-12</v>
      </c>
      <c r="L121" s="260">
        <f>(L$112*VLOOKUP($C121,Aggregate!$B$14:$AW$65,24,FALSE)+L$113*VLOOKUP($C121,Aggregate!$B$14:$AW$65,48,FALSE))</f>
        <v>1.9490220443361963E-12</v>
      </c>
      <c r="M121" s="260">
        <f>(M$112*VLOOKUP($C121,Aggregate!$B$14:$AW$65,24,FALSE)+M$113*VLOOKUP($C121,Aggregate!$B$14:$AW$65,48,FALSE))</f>
        <v>1.9490220443361963E-12</v>
      </c>
      <c r="N121" s="260">
        <f>(N$112*VLOOKUP($C121,Aggregate!$B$14:$AW$65,24,FALSE)+N$113*VLOOKUP($C121,Aggregate!$B$14:$AW$65,48,FALSE))</f>
        <v>1.9490220443361963E-12</v>
      </c>
      <c r="O121" s="260">
        <f>(O$112*VLOOKUP($C121,Aggregate!$B$14:$AW$65,24,FALSE)+O$113*VLOOKUP($C121,Aggregate!$B$14:$AW$65,48,FALSE))</f>
        <v>1.9487226418719905E-12</v>
      </c>
      <c r="P121" s="260" t="e">
        <f>(P$112*VLOOKUP($C121,Aggregate!$B$14:$AW$65,24,FALSE)+P$113*VLOOKUP($C121,Aggregate!$B$14:$AW$65,48,FALSE))</f>
        <v>#N/A</v>
      </c>
      <c r="Q121" s="216" t="s">
        <v>906</v>
      </c>
    </row>
    <row r="122" spans="1:17" ht="15" customHeight="1" x14ac:dyDescent="0.25">
      <c r="A122">
        <f t="shared" si="15"/>
        <v>119</v>
      </c>
      <c r="B122" t="str">
        <f t="shared" si="17"/>
        <v>oil_to_wat</v>
      </c>
      <c r="C122" s="218" t="s">
        <v>700</v>
      </c>
      <c r="D122" s="215">
        <f t="shared" si="18"/>
        <v>2.431609335414816E-11</v>
      </c>
      <c r="E122" s="260">
        <f>(E$112*VLOOKUP($C122,Aggregate!$B$14:$AW$65,24,FALSE)+E$113*VLOOKUP($C122,Aggregate!$B$14:$AW$65,48,FALSE))</f>
        <v>2.431609335414816E-11</v>
      </c>
      <c r="F122" s="260">
        <f>(F$112*VLOOKUP($C122,Aggregate!$B$14:$AW$65,24,FALSE)+F$113*VLOOKUP($C122,Aggregate!$B$14:$AW$65,48,FALSE))</f>
        <v>2.5116699406963999E-11</v>
      </c>
      <c r="G122" s="260">
        <f>(G$112*VLOOKUP($C122,Aggregate!$B$14:$AW$65,24,FALSE)+G$113*VLOOKUP($C122,Aggregate!$B$14:$AW$65,48,FALSE))</f>
        <v>2.7067293840264453E-11</v>
      </c>
      <c r="H122" s="260">
        <f>(H$112*VLOOKUP($C122,Aggregate!$B$14:$AW$65,24,FALSE)+H$113*VLOOKUP($C122,Aggregate!$B$14:$AW$65,48,FALSE))</f>
        <v>2.7754647057159649E-11</v>
      </c>
      <c r="I122" s="260">
        <f>(I$112*VLOOKUP($C122,Aggregate!$B$14:$AW$65,24,FALSE)+I$113*VLOOKUP($C122,Aggregate!$B$14:$AW$65,48,FALSE))</f>
        <v>2.8496716423696472E-11</v>
      </c>
      <c r="J122" s="260">
        <f>(J$112*VLOOKUP($C122,Aggregate!$B$14:$AW$65,24,FALSE)+J$113*VLOOKUP($C122,Aggregate!$B$14:$AW$65,48,FALSE))</f>
        <v>2.9233700469136902E-11</v>
      </c>
      <c r="K122" s="260">
        <f>(K$112*VLOOKUP($C122,Aggregate!$B$14:$AW$65,24,FALSE)+K$113*VLOOKUP($C122,Aggregate!$B$14:$AW$65,48,FALSE))</f>
        <v>2.9233700469136902E-11</v>
      </c>
      <c r="L122" s="260">
        <f>(L$112*VLOOKUP($C122,Aggregate!$B$14:$AW$65,24,FALSE)+L$113*VLOOKUP($C122,Aggregate!$B$14:$AW$65,48,FALSE))</f>
        <v>2.9233700469136902E-11</v>
      </c>
      <c r="M122" s="260">
        <f>(M$112*VLOOKUP($C122,Aggregate!$B$14:$AW$65,24,FALSE)+M$113*VLOOKUP($C122,Aggregate!$B$14:$AW$65,48,FALSE))</f>
        <v>2.9233700469136902E-11</v>
      </c>
      <c r="N122" s="260">
        <f>(N$112*VLOOKUP($C122,Aggregate!$B$14:$AW$65,24,FALSE)+N$113*VLOOKUP($C122,Aggregate!$B$14:$AW$65,48,FALSE))</f>
        <v>2.9233700469136902E-11</v>
      </c>
      <c r="O122" s="260">
        <f>(O$112*VLOOKUP($C122,Aggregate!$B$14:$AW$65,24,FALSE)+O$113*VLOOKUP($C122,Aggregate!$B$14:$AW$65,48,FALSE))</f>
        <v>2.923097846234578E-11</v>
      </c>
      <c r="P122" s="260" t="e">
        <f>(P$112*VLOOKUP($C122,Aggregate!$B$14:$AW$65,24,FALSE)+P$113*VLOOKUP($C122,Aggregate!$B$14:$AW$65,48,FALSE))</f>
        <v>#N/A</v>
      </c>
      <c r="Q122" s="216" t="s">
        <v>907</v>
      </c>
    </row>
    <row r="123" spans="1:17" ht="15" customHeight="1" x14ac:dyDescent="0.25">
      <c r="A123">
        <f t="shared" si="15"/>
        <v>120</v>
      </c>
      <c r="B123" t="str">
        <f t="shared" si="17"/>
        <v>SS_to_wat</v>
      </c>
      <c r="C123" s="218" t="s">
        <v>701</v>
      </c>
      <c r="D123" s="215">
        <f t="shared" si="18"/>
        <v>4.8691751405616167E-11</v>
      </c>
      <c r="E123" s="260">
        <f>(E$112*VLOOKUP($C123,Aggregate!$B$14:$AW$65,24,FALSE)+E$113*VLOOKUP($C123,Aggregate!$B$14:$AW$65,48,FALSE))</f>
        <v>4.8691751405616167E-11</v>
      </c>
      <c r="F123" s="260">
        <f>(F$112*VLOOKUP($C123,Aggregate!$B$14:$AW$65,24,FALSE)+F$113*VLOOKUP($C123,Aggregate!$B$14:$AW$65,48,FALSE))</f>
        <v>5.0294924675671498E-11</v>
      </c>
      <c r="G123" s="260">
        <f>(G$112*VLOOKUP($C123,Aggregate!$B$14:$AW$65,24,FALSE)+G$113*VLOOKUP($C123,Aggregate!$B$14:$AW$65,48,FALSE))</f>
        <v>5.4200891717998298E-11</v>
      </c>
      <c r="H123" s="260">
        <f>(H$112*VLOOKUP($C123,Aggregate!$B$14:$AW$65,24,FALSE)+H$113*VLOOKUP($C123,Aggregate!$B$14:$AW$65,48,FALSE))</f>
        <v>5.5577882766641153E-11</v>
      </c>
      <c r="I123" s="260">
        <f>(I$112*VLOOKUP($C123,Aggregate!$B$14:$AW$65,24,FALSE)+I$113*VLOOKUP($C123,Aggregate!$B$14:$AW$65,48,FALSE))</f>
        <v>5.7063855338123029E-11</v>
      </c>
      <c r="J123" s="260">
        <f>(J$112*VLOOKUP($C123,Aggregate!$B$14:$AW$65,24,FALSE)+J$113*VLOOKUP($C123,Aggregate!$B$14:$AW$65,48,FALSE))</f>
        <v>5.8539644700315871E-11</v>
      </c>
      <c r="K123" s="260">
        <f>(K$112*VLOOKUP($C123,Aggregate!$B$14:$AW$65,24,FALSE)+K$113*VLOOKUP($C123,Aggregate!$B$14:$AW$65,48,FALSE))</f>
        <v>5.8539644700315871E-11</v>
      </c>
      <c r="L123" s="260">
        <f>(L$112*VLOOKUP($C123,Aggregate!$B$14:$AW$65,24,FALSE)+L$113*VLOOKUP($C123,Aggregate!$B$14:$AW$65,48,FALSE))</f>
        <v>5.8539644700315871E-11</v>
      </c>
      <c r="M123" s="260">
        <f>(M$112*VLOOKUP($C123,Aggregate!$B$14:$AW$65,24,FALSE)+M$113*VLOOKUP($C123,Aggregate!$B$14:$AW$65,48,FALSE))</f>
        <v>5.8539644700315871E-11</v>
      </c>
      <c r="N123" s="260">
        <f>(N$112*VLOOKUP($C123,Aggregate!$B$14:$AW$65,24,FALSE)+N$113*VLOOKUP($C123,Aggregate!$B$14:$AW$65,48,FALSE))</f>
        <v>5.8539644700315871E-11</v>
      </c>
      <c r="O123" s="260">
        <f>(O$112*VLOOKUP($C123,Aggregate!$B$14:$AW$65,24,FALSE)+O$113*VLOOKUP($C123,Aggregate!$B$14:$AW$65,48,FALSE))</f>
        <v>5.8538424118648997E-11</v>
      </c>
      <c r="P123" s="260" t="e">
        <f>(P$112*VLOOKUP($C123,Aggregate!$B$14:$AW$65,24,FALSE)+P$113*VLOOKUP($C123,Aggregate!$B$14:$AW$65,48,FALSE))</f>
        <v>#N/A</v>
      </c>
      <c r="Q123" s="216" t="s">
        <v>908</v>
      </c>
    </row>
    <row r="124" spans="1:17" ht="15" customHeight="1" x14ac:dyDescent="0.25">
      <c r="A124">
        <f t="shared" si="15"/>
        <v>121</v>
      </c>
      <c r="B124" t="str">
        <f t="shared" si="17"/>
        <v>As_to_air</v>
      </c>
      <c r="C124" s="218" t="s">
        <v>702</v>
      </c>
      <c r="D124" s="215">
        <f t="shared" si="18"/>
        <v>5.9805976626456036E-12</v>
      </c>
      <c r="E124" s="260">
        <f>(E$112*VLOOKUP($C124,Aggregate!$B$14:$AW$65,24,FALSE)+E$113*VLOOKUP($C124,Aggregate!$B$14:$AW$65,48,FALSE))</f>
        <v>5.9805976626456036E-12</v>
      </c>
      <c r="F124" s="260">
        <f>(F$112*VLOOKUP($C124,Aggregate!$B$14:$AW$65,24,FALSE)+F$113*VLOOKUP($C124,Aggregate!$B$14:$AW$65,48,FALSE))</f>
        <v>6.1775085158173973E-12</v>
      </c>
      <c r="G124" s="260">
        <f>(G$112*VLOOKUP($C124,Aggregate!$B$14:$AW$65,24,FALSE)+G$113*VLOOKUP($C124,Aggregate!$B$14:$AW$65,48,FALSE))</f>
        <v>6.6572615887581263E-12</v>
      </c>
      <c r="H124" s="260">
        <f>(H$112*VLOOKUP($C124,Aggregate!$B$14:$AW$65,24,FALSE)+H$113*VLOOKUP($C124,Aggregate!$B$14:$AW$65,48,FALSE))</f>
        <v>6.8263498131896099E-12</v>
      </c>
      <c r="I124" s="260">
        <f>(I$112*VLOOKUP($C124,Aggregate!$B$14:$AW$65,24,FALSE)+I$113*VLOOKUP($C124,Aggregate!$B$14:$AW$65,48,FALSE))</f>
        <v>7.0088642970236124E-12</v>
      </c>
      <c r="J124" s="260">
        <f>(J$112*VLOOKUP($C124,Aggregate!$B$14:$AW$65,24,FALSE)+J$113*VLOOKUP($C124,Aggregate!$B$14:$AW$65,48,FALSE))</f>
        <v>7.1901280288431896E-12</v>
      </c>
      <c r="K124" s="260">
        <f>(K$112*VLOOKUP($C124,Aggregate!$B$14:$AW$65,24,FALSE)+K$113*VLOOKUP($C124,Aggregate!$B$14:$AW$65,48,FALSE))</f>
        <v>7.1901280288431896E-12</v>
      </c>
      <c r="L124" s="260">
        <f>(L$112*VLOOKUP($C124,Aggregate!$B$14:$AW$65,24,FALSE)+L$113*VLOOKUP($C124,Aggregate!$B$14:$AW$65,48,FALSE))</f>
        <v>7.1901280288431896E-12</v>
      </c>
      <c r="M124" s="260">
        <f>(M$112*VLOOKUP($C124,Aggregate!$B$14:$AW$65,24,FALSE)+M$113*VLOOKUP($C124,Aggregate!$B$14:$AW$65,48,FALSE))</f>
        <v>7.1901280288431896E-12</v>
      </c>
      <c r="N124" s="260">
        <f>(N$112*VLOOKUP($C124,Aggregate!$B$14:$AW$65,24,FALSE)+N$113*VLOOKUP($C124,Aggregate!$B$14:$AW$65,48,FALSE))</f>
        <v>7.1901280288431896E-12</v>
      </c>
      <c r="O124" s="260">
        <f>(O$112*VLOOKUP($C124,Aggregate!$B$14:$AW$65,24,FALSE)+O$113*VLOOKUP($C124,Aggregate!$B$14:$AW$65,48,FALSE))</f>
        <v>7.1896849492175135E-12</v>
      </c>
      <c r="P124" s="260" t="e">
        <f>(P$112*VLOOKUP($C124,Aggregate!$B$14:$AW$65,24,FALSE)+P$113*VLOOKUP($C124,Aggregate!$B$14:$AW$65,48,FALSE))</f>
        <v>#N/A</v>
      </c>
      <c r="Q124" s="216" t="s">
        <v>909</v>
      </c>
    </row>
    <row r="125" spans="1:17" ht="15" customHeight="1" x14ac:dyDescent="0.25">
      <c r="A125">
        <f t="shared" si="15"/>
        <v>122</v>
      </c>
      <c r="B125" t="str">
        <f t="shared" si="17"/>
        <v>Be_to_air</v>
      </c>
      <c r="C125" s="218" t="s">
        <v>703</v>
      </c>
      <c r="D125" s="215">
        <f t="shared" si="18"/>
        <v>1.2586462244672438E-13</v>
      </c>
      <c r="E125" s="260">
        <f>(E$112*VLOOKUP($C125,Aggregate!$B$14:$AW$65,24,FALSE)+E$113*VLOOKUP($C125,Aggregate!$B$14:$AW$65,48,FALSE))</f>
        <v>1.2586462244672438E-13</v>
      </c>
      <c r="F125" s="260">
        <f>(F$112*VLOOKUP($C125,Aggregate!$B$14:$AW$65,24,FALSE)+F$113*VLOOKUP($C125,Aggregate!$B$14:$AW$65,48,FALSE))</f>
        <v>1.300087083037166E-13</v>
      </c>
      <c r="G125" s="260">
        <f>(G$112*VLOOKUP($C125,Aggregate!$B$14:$AW$65,24,FALSE)+G$113*VLOOKUP($C125,Aggregate!$B$14:$AW$65,48,FALSE))</f>
        <v>1.4010534793732623E-13</v>
      </c>
      <c r="H125" s="260">
        <f>(H$112*VLOOKUP($C125,Aggregate!$B$14:$AW$65,24,FALSE)+H$113*VLOOKUP($C125,Aggregate!$B$14:$AW$65,48,FALSE))</f>
        <v>1.4366212476341858E-13</v>
      </c>
      <c r="I125" s="260">
        <f>(I$112*VLOOKUP($C125,Aggregate!$B$14:$AW$65,24,FALSE)+I$113*VLOOKUP($C125,Aggregate!$B$14:$AW$65,48,FALSE))</f>
        <v>1.475031846658908E-13</v>
      </c>
      <c r="J125" s="260">
        <f>(J$112*VLOOKUP($C125,Aggregate!$B$14:$AW$65,24,FALSE)+J$113*VLOOKUP($C125,Aggregate!$B$14:$AW$65,48,FALSE))</f>
        <v>1.5131792220035352E-13</v>
      </c>
      <c r="K125" s="260">
        <f>(K$112*VLOOKUP($C125,Aggregate!$B$14:$AW$65,24,FALSE)+K$113*VLOOKUP($C125,Aggregate!$B$14:$AW$65,48,FALSE))</f>
        <v>1.5131792220035352E-13</v>
      </c>
      <c r="L125" s="260">
        <f>(L$112*VLOOKUP($C125,Aggregate!$B$14:$AW$65,24,FALSE)+L$113*VLOOKUP($C125,Aggregate!$B$14:$AW$65,48,FALSE))</f>
        <v>1.5131792220035352E-13</v>
      </c>
      <c r="M125" s="260">
        <f>(M$112*VLOOKUP($C125,Aggregate!$B$14:$AW$65,24,FALSE)+M$113*VLOOKUP($C125,Aggregate!$B$14:$AW$65,48,FALSE))</f>
        <v>1.5131792220035352E-13</v>
      </c>
      <c r="N125" s="260">
        <f>(N$112*VLOOKUP($C125,Aggregate!$B$14:$AW$65,24,FALSE)+N$113*VLOOKUP($C125,Aggregate!$B$14:$AW$65,48,FALSE))</f>
        <v>1.5131792220035352E-13</v>
      </c>
      <c r="O125" s="260">
        <f>(O$112*VLOOKUP($C125,Aggregate!$B$14:$AW$65,24,FALSE)+O$113*VLOOKUP($C125,Aggregate!$B$14:$AW$65,48,FALSE))</f>
        <v>1.5129615004388964E-13</v>
      </c>
      <c r="P125" s="260" t="e">
        <f>(P$112*VLOOKUP($C125,Aggregate!$B$14:$AW$65,24,FALSE)+P$113*VLOOKUP($C125,Aggregate!$B$14:$AW$65,48,FALSE))</f>
        <v>#N/A</v>
      </c>
      <c r="Q125" s="216" t="s">
        <v>910</v>
      </c>
    </row>
    <row r="126" spans="1:17" ht="15" customHeight="1" x14ac:dyDescent="0.25">
      <c r="A126">
        <f t="shared" si="15"/>
        <v>123</v>
      </c>
      <c r="B126" t="str">
        <f t="shared" si="17"/>
        <v>Cd_to_air</v>
      </c>
      <c r="C126" s="218" t="s">
        <v>704</v>
      </c>
      <c r="D126" s="215">
        <f t="shared" si="18"/>
        <v>1.8015174254582933E-12</v>
      </c>
      <c r="E126" s="260">
        <f>(E$112*VLOOKUP($C126,Aggregate!$B$14:$AW$65,24,FALSE)+E$113*VLOOKUP($C126,Aggregate!$B$14:$AW$65,48,FALSE))</f>
        <v>1.8015174254582933E-12</v>
      </c>
      <c r="F126" s="260">
        <f>(F$112*VLOOKUP($C126,Aggregate!$B$14:$AW$65,24,FALSE)+F$113*VLOOKUP($C126,Aggregate!$B$14:$AW$65,48,FALSE))</f>
        <v>1.8608322888316513E-12</v>
      </c>
      <c r="G126" s="260">
        <f>(G$112*VLOOKUP($C126,Aggregate!$B$14:$AW$65,24,FALSE)+G$113*VLOOKUP($C126,Aggregate!$B$14:$AW$65,48,FALSE))</f>
        <v>2.0053468623864217E-12</v>
      </c>
      <c r="H126" s="260">
        <f>(H$112*VLOOKUP($C126,Aggregate!$B$14:$AW$65,24,FALSE)+H$113*VLOOKUP($C126,Aggregate!$B$14:$AW$65,48,FALSE))</f>
        <v>2.0562661458534053E-12</v>
      </c>
      <c r="I126" s="260">
        <f>(I$112*VLOOKUP($C126,Aggregate!$B$14:$AW$65,24,FALSE)+I$113*VLOOKUP($C126,Aggregate!$B$14:$AW$65,48,FALSE))</f>
        <v>2.1112440424608466E-12</v>
      </c>
      <c r="J126" s="260">
        <f>(J$112*VLOOKUP($C126,Aggregate!$B$14:$AW$65,24,FALSE)+J$113*VLOOKUP($C126,Aggregate!$B$14:$AW$65,48,FALSE))</f>
        <v>2.1658451814900067E-12</v>
      </c>
      <c r="K126" s="260">
        <f>(K$112*VLOOKUP($C126,Aggregate!$B$14:$AW$65,24,FALSE)+K$113*VLOOKUP($C126,Aggregate!$B$14:$AW$65,48,FALSE))</f>
        <v>2.1658451814900067E-12</v>
      </c>
      <c r="L126" s="260">
        <f>(L$112*VLOOKUP($C126,Aggregate!$B$14:$AW$65,24,FALSE)+L$113*VLOOKUP($C126,Aggregate!$B$14:$AW$65,48,FALSE))</f>
        <v>2.1658451814900067E-12</v>
      </c>
      <c r="M126" s="260">
        <f>(M$112*VLOOKUP($C126,Aggregate!$B$14:$AW$65,24,FALSE)+M$113*VLOOKUP($C126,Aggregate!$B$14:$AW$65,48,FALSE))</f>
        <v>2.1658451814900067E-12</v>
      </c>
      <c r="N126" s="260">
        <f>(N$112*VLOOKUP($C126,Aggregate!$B$14:$AW$65,24,FALSE)+N$113*VLOOKUP($C126,Aggregate!$B$14:$AW$65,48,FALSE))</f>
        <v>2.1658451814900067E-12</v>
      </c>
      <c r="O126" s="260">
        <f>(O$112*VLOOKUP($C126,Aggregate!$B$14:$AW$65,24,FALSE)+O$113*VLOOKUP($C126,Aggregate!$B$14:$AW$65,48,FALSE))</f>
        <v>2.1656085566092887E-12</v>
      </c>
      <c r="P126" s="260" t="e">
        <f>(P$112*VLOOKUP($C126,Aggregate!$B$14:$AW$65,24,FALSE)+P$113*VLOOKUP($C126,Aggregate!$B$14:$AW$65,48,FALSE))</f>
        <v>#N/A</v>
      </c>
      <c r="Q126" s="216" t="s">
        <v>911</v>
      </c>
    </row>
    <row r="127" spans="1:17" ht="15" customHeight="1" x14ac:dyDescent="0.25">
      <c r="A127">
        <f t="shared" si="15"/>
        <v>124</v>
      </c>
      <c r="B127" t="str">
        <f t="shared" si="17"/>
        <v>CO2_to_air</v>
      </c>
      <c r="C127" s="218" t="s">
        <v>705</v>
      </c>
      <c r="D127" s="215">
        <f t="shared" si="18"/>
        <v>6.9811538740634346E-4</v>
      </c>
      <c r="E127" s="260">
        <f>(E$112*VLOOKUP($C127,Aggregate!$B$14:$AW$65,24,FALSE)+E$113*VLOOKUP($C127,Aggregate!$B$14:$AW$65,48,FALSE))</f>
        <v>6.9811538740634346E-4</v>
      </c>
      <c r="F127" s="260">
        <f>(F$112*VLOOKUP($C127,Aggregate!$B$14:$AW$65,24,FALSE)+F$113*VLOOKUP($C127,Aggregate!$B$14:$AW$65,48,FALSE))</f>
        <v>7.2110079861451536E-4</v>
      </c>
      <c r="G127" s="260">
        <f>(G$112*VLOOKUP($C127,Aggregate!$B$14:$AW$65,24,FALSE)+G$113*VLOOKUP($C127,Aggregate!$B$14:$AW$65,48,FALSE))</f>
        <v>7.7710239264704942E-4</v>
      </c>
      <c r="H127" s="260">
        <f>(H$112*VLOOKUP($C127,Aggregate!$B$14:$AW$65,24,FALSE)+H$113*VLOOKUP($C127,Aggregate!$B$14:$AW$65,48,FALSE))</f>
        <v>7.9353224805611721E-4</v>
      </c>
      <c r="I127" s="260">
        <f>(I$112*VLOOKUP($C127,Aggregate!$B$14:$AW$65,24,FALSE)+I$113*VLOOKUP($C127,Aggregate!$B$14:$AW$65,48,FALSE))</f>
        <v>8.1474873016193613E-4</v>
      </c>
      <c r="J127" s="260">
        <f>(J$112*VLOOKUP($C127,Aggregate!$B$14:$AW$65,24,FALSE)+J$113*VLOOKUP($C127,Aggregate!$B$14:$AW$65,48,FALSE))</f>
        <v>8.3581981801095174E-4</v>
      </c>
      <c r="K127" s="260">
        <f>(K$112*VLOOKUP($C127,Aggregate!$B$14:$AW$65,24,FALSE)+K$113*VLOOKUP($C127,Aggregate!$B$14:$AW$65,48,FALSE))</f>
        <v>8.3581981801095174E-4</v>
      </c>
      <c r="L127" s="260">
        <f>(L$112*VLOOKUP($C127,Aggregate!$B$14:$AW$65,24,FALSE)+L$113*VLOOKUP($C127,Aggregate!$B$14:$AW$65,48,FALSE))</f>
        <v>8.3581981801095174E-4</v>
      </c>
      <c r="M127" s="260">
        <f>(M$112*VLOOKUP($C127,Aggregate!$B$14:$AW$65,24,FALSE)+M$113*VLOOKUP($C127,Aggregate!$B$14:$AW$65,48,FALSE))</f>
        <v>8.3581981801095174E-4</v>
      </c>
      <c r="N127" s="260">
        <f>(N$112*VLOOKUP($C127,Aggregate!$B$14:$AW$65,24,FALSE)+N$113*VLOOKUP($C127,Aggregate!$B$14:$AW$65,48,FALSE))</f>
        <v>8.3581981801095174E-4</v>
      </c>
      <c r="O127" s="260">
        <f>(O$112*VLOOKUP($C127,Aggregate!$B$14:$AW$65,24,FALSE)+O$113*VLOOKUP($C127,Aggregate!$B$14:$AW$65,48,FALSE))</f>
        <v>8.1248136372833824E-4</v>
      </c>
      <c r="P127" s="260" t="e">
        <f>(P$112*VLOOKUP($C127,Aggregate!$B$14:$AW$65,24,FALSE)+P$113*VLOOKUP($C127,Aggregate!$B$14:$AW$65,48,FALSE))</f>
        <v>#N/A</v>
      </c>
      <c r="Q127" s="216" t="s">
        <v>912</v>
      </c>
    </row>
    <row r="128" spans="1:17" ht="15" customHeight="1" x14ac:dyDescent="0.25">
      <c r="A128">
        <f t="shared" si="15"/>
        <v>125</v>
      </c>
      <c r="B128" t="str">
        <f t="shared" si="17"/>
        <v>CO_to_air</v>
      </c>
      <c r="C128" s="218" t="s">
        <v>706</v>
      </c>
      <c r="D128" s="215">
        <f t="shared" si="18"/>
        <v>1.5156505416682033E-6</v>
      </c>
      <c r="E128" s="260">
        <f>(E$112*VLOOKUP($C128,Aggregate!$B$14:$AW$65,24,FALSE)+E$113*VLOOKUP($C128,Aggregate!$B$14:$AW$65,48,FALSE))</f>
        <v>1.5156505416682033E-6</v>
      </c>
      <c r="F128" s="260">
        <f>(F$112*VLOOKUP($C128,Aggregate!$B$14:$AW$65,24,FALSE)+F$113*VLOOKUP($C128,Aggregate!$B$14:$AW$65,48,FALSE))</f>
        <v>1.5655532534212886E-6</v>
      </c>
      <c r="G128" s="260">
        <f>(G$112*VLOOKUP($C128,Aggregate!$B$14:$AW$65,24,FALSE)+G$113*VLOOKUP($C128,Aggregate!$B$14:$AW$65,48,FALSE))</f>
        <v>1.6871360860888753E-6</v>
      </c>
      <c r="H128" s="260">
        <f>(H$112*VLOOKUP($C128,Aggregate!$B$14:$AW$65,24,FALSE)+H$113*VLOOKUP($C128,Aggregate!$B$14:$AW$65,48,FALSE))</f>
        <v>1.7209313188165815E-6</v>
      </c>
      <c r="I128" s="260">
        <f>(I$112*VLOOKUP($C128,Aggregate!$B$14:$AW$65,24,FALSE)+I$113*VLOOKUP($C128,Aggregate!$B$14:$AW$65,48,FALSE))</f>
        <v>1.7669434482800753E-6</v>
      </c>
      <c r="J128" s="260">
        <f>(J$112*VLOOKUP($C128,Aggregate!$B$14:$AW$65,24,FALSE)+J$113*VLOOKUP($C128,Aggregate!$B$14:$AW$65,48,FALSE))</f>
        <v>1.8126402615976638E-6</v>
      </c>
      <c r="K128" s="260">
        <f>(K$112*VLOOKUP($C128,Aggregate!$B$14:$AW$65,24,FALSE)+K$113*VLOOKUP($C128,Aggregate!$B$14:$AW$65,48,FALSE))</f>
        <v>1.8126402615976638E-6</v>
      </c>
      <c r="L128" s="260">
        <f>(L$112*VLOOKUP($C128,Aggregate!$B$14:$AW$65,24,FALSE)+L$113*VLOOKUP($C128,Aggregate!$B$14:$AW$65,48,FALSE))</f>
        <v>1.8126402615976638E-6</v>
      </c>
      <c r="M128" s="260">
        <f>(M$112*VLOOKUP($C128,Aggregate!$B$14:$AW$65,24,FALSE)+M$113*VLOOKUP($C128,Aggregate!$B$14:$AW$65,48,FALSE))</f>
        <v>1.8126402615976638E-6</v>
      </c>
      <c r="N128" s="260">
        <f>(N$112*VLOOKUP($C128,Aggregate!$B$14:$AW$65,24,FALSE)+N$113*VLOOKUP($C128,Aggregate!$B$14:$AW$65,48,FALSE))</f>
        <v>1.8126402615976638E-6</v>
      </c>
      <c r="O128" s="260">
        <f>(O$112*VLOOKUP($C128,Aggregate!$B$14:$AW$65,24,FALSE)+O$113*VLOOKUP($C128,Aggregate!$B$14:$AW$65,48,FALSE))</f>
        <v>1.7487714427728577E-6</v>
      </c>
      <c r="P128" s="260" t="e">
        <f>(P$112*VLOOKUP($C128,Aggregate!$B$14:$AW$65,24,FALSE)+P$113*VLOOKUP($C128,Aggregate!$B$14:$AW$65,48,FALSE))</f>
        <v>#N/A</v>
      </c>
      <c r="Q128" s="216" t="s">
        <v>913</v>
      </c>
    </row>
    <row r="129" spans="1:17" ht="15" customHeight="1" x14ac:dyDescent="0.25">
      <c r="A129">
        <f t="shared" si="15"/>
        <v>126</v>
      </c>
      <c r="B129" t="str">
        <f t="shared" si="17"/>
        <v>Cr_to_air</v>
      </c>
      <c r="C129" s="218" t="s">
        <v>707</v>
      </c>
      <c r="D129" s="215">
        <f t="shared" si="18"/>
        <v>3.824783296006879E-12</v>
      </c>
      <c r="E129" s="260">
        <f>(E$112*VLOOKUP($C129,Aggregate!$B$14:$AW$65,24,FALSE)+E$113*VLOOKUP($C129,Aggregate!$B$14:$AW$65,48,FALSE))</f>
        <v>3.824783296006879E-12</v>
      </c>
      <c r="F129" s="260">
        <f>(F$112*VLOOKUP($C129,Aggregate!$B$14:$AW$65,24,FALSE)+F$113*VLOOKUP($C129,Aggregate!$B$14:$AW$65,48,FALSE))</f>
        <v>3.9507140782626404E-12</v>
      </c>
      <c r="G129" s="260">
        <f>(G$112*VLOOKUP($C129,Aggregate!$B$14:$AW$65,24,FALSE)+G$113*VLOOKUP($C129,Aggregate!$B$14:$AW$65,48,FALSE))</f>
        <v>4.2575314973732169E-12</v>
      </c>
      <c r="H129" s="260">
        <f>(H$112*VLOOKUP($C129,Aggregate!$B$14:$AW$65,24,FALSE)+H$113*VLOOKUP($C129,Aggregate!$B$14:$AW$65,48,FALSE))</f>
        <v>4.3656422827346356E-12</v>
      </c>
      <c r="I129" s="260">
        <f>(I$112*VLOOKUP($C129,Aggregate!$B$14:$AW$65,24,FALSE)+I$113*VLOOKUP($C129,Aggregate!$B$14:$AW$65,48,FALSE))</f>
        <v>4.4823654173002965E-12</v>
      </c>
      <c r="J129" s="260">
        <f>(J$112*VLOOKUP($C129,Aggregate!$B$14:$AW$65,24,FALSE)+J$113*VLOOKUP($C129,Aggregate!$B$14:$AW$65,48,FALSE))</f>
        <v>4.5982886608511667E-12</v>
      </c>
      <c r="K129" s="260">
        <f>(K$112*VLOOKUP($C129,Aggregate!$B$14:$AW$65,24,FALSE)+K$113*VLOOKUP($C129,Aggregate!$B$14:$AW$65,48,FALSE))</f>
        <v>4.5982886608511667E-12</v>
      </c>
      <c r="L129" s="260">
        <f>(L$112*VLOOKUP($C129,Aggregate!$B$14:$AW$65,24,FALSE)+L$113*VLOOKUP($C129,Aggregate!$B$14:$AW$65,48,FALSE))</f>
        <v>4.5982886608511667E-12</v>
      </c>
      <c r="M129" s="260">
        <f>(M$112*VLOOKUP($C129,Aggregate!$B$14:$AW$65,24,FALSE)+M$113*VLOOKUP($C129,Aggregate!$B$14:$AW$65,48,FALSE))</f>
        <v>4.5982886608511667E-12</v>
      </c>
      <c r="N129" s="260">
        <f>(N$112*VLOOKUP($C129,Aggregate!$B$14:$AW$65,24,FALSE)+N$113*VLOOKUP($C129,Aggregate!$B$14:$AW$65,48,FALSE))</f>
        <v>4.5982886608511667E-12</v>
      </c>
      <c r="O129" s="260">
        <f>(O$112*VLOOKUP($C129,Aggregate!$B$14:$AW$65,24,FALSE)+O$113*VLOOKUP($C129,Aggregate!$B$14:$AW$65,48,FALSE))</f>
        <v>4.5978184804954703E-12</v>
      </c>
      <c r="P129" s="260" t="e">
        <f>(P$112*VLOOKUP($C129,Aggregate!$B$14:$AW$65,24,FALSE)+P$113*VLOOKUP($C129,Aggregate!$B$14:$AW$65,48,FALSE))</f>
        <v>#N/A</v>
      </c>
      <c r="Q129" s="216" t="s">
        <v>914</v>
      </c>
    </row>
    <row r="130" spans="1:17" ht="15" customHeight="1" x14ac:dyDescent="0.25">
      <c r="A130">
        <f t="shared" si="15"/>
        <v>127</v>
      </c>
      <c r="B130" t="str">
        <f t="shared" si="17"/>
        <v>Cob_to_air</v>
      </c>
      <c r="C130" s="218" t="s">
        <v>708</v>
      </c>
      <c r="D130" s="215">
        <f t="shared" si="18"/>
        <v>2.7251106603569687E-11</v>
      </c>
      <c r="E130" s="260">
        <f>(E$112*VLOOKUP($C130,Aggregate!$B$14:$AW$65,24,FALSE)+E$113*VLOOKUP($C130,Aggregate!$B$14:$AW$65,48,FALSE))</f>
        <v>2.7251106603569687E-11</v>
      </c>
      <c r="F130" s="260">
        <f>(F$112*VLOOKUP($C130,Aggregate!$B$14:$AW$65,24,FALSE)+F$113*VLOOKUP($C130,Aggregate!$B$14:$AW$65,48,FALSE))</f>
        <v>2.8148347808190478E-11</v>
      </c>
      <c r="G130" s="260">
        <f>(G$112*VLOOKUP($C130,Aggregate!$B$14:$AW$65,24,FALSE)+G$113*VLOOKUP($C130,Aggregate!$B$14:$AW$65,48,FALSE))</f>
        <v>3.0334383865381885E-11</v>
      </c>
      <c r="H130" s="260">
        <f>(H$112*VLOOKUP($C130,Aggregate!$B$14:$AW$65,24,FALSE)+H$113*VLOOKUP($C130,Aggregate!$B$14:$AW$65,48,FALSE))</f>
        <v>3.1104363444625709E-11</v>
      </c>
      <c r="I130" s="260">
        <f>(I$112*VLOOKUP($C130,Aggregate!$B$14:$AW$65,24,FALSE)+I$113*VLOOKUP($C130,Aggregate!$B$14:$AW$65,48,FALSE))</f>
        <v>3.1935993377816679E-11</v>
      </c>
      <c r="J130" s="260">
        <f>(J$112*VLOOKUP($C130,Aggregate!$B$14:$AW$65,24,FALSE)+J$113*VLOOKUP($C130,Aggregate!$B$14:$AW$65,48,FALSE))</f>
        <v>3.2761924241036085E-11</v>
      </c>
      <c r="K130" s="260">
        <f>(K$112*VLOOKUP($C130,Aggregate!$B$14:$AW$65,24,FALSE)+K$113*VLOOKUP($C130,Aggregate!$B$14:$AW$65,48,FALSE))</f>
        <v>3.2761924241036085E-11</v>
      </c>
      <c r="L130" s="260">
        <f>(L$112*VLOOKUP($C130,Aggregate!$B$14:$AW$65,24,FALSE)+L$113*VLOOKUP($C130,Aggregate!$B$14:$AW$65,48,FALSE))</f>
        <v>3.2761924241036085E-11</v>
      </c>
      <c r="M130" s="260">
        <f>(M$112*VLOOKUP($C130,Aggregate!$B$14:$AW$65,24,FALSE)+M$113*VLOOKUP($C130,Aggregate!$B$14:$AW$65,48,FALSE))</f>
        <v>3.2761924241036085E-11</v>
      </c>
      <c r="N130" s="260">
        <f>(N$112*VLOOKUP($C130,Aggregate!$B$14:$AW$65,24,FALSE)+N$113*VLOOKUP($C130,Aggregate!$B$14:$AW$65,48,FALSE))</f>
        <v>3.2761924241036085E-11</v>
      </c>
      <c r="O130" s="260">
        <f>(O$112*VLOOKUP($C130,Aggregate!$B$14:$AW$65,24,FALSE)+O$113*VLOOKUP($C130,Aggregate!$B$14:$AW$65,48,FALSE))</f>
        <v>3.275648793438415E-11</v>
      </c>
      <c r="P130" s="260" t="e">
        <f>(P$112*VLOOKUP($C130,Aggregate!$B$14:$AW$65,24,FALSE)+P$113*VLOOKUP($C130,Aggregate!$B$14:$AW$65,48,FALSE))</f>
        <v>#N/A</v>
      </c>
      <c r="Q130" s="216" t="s">
        <v>915</v>
      </c>
    </row>
    <row r="131" spans="1:17" ht="15" customHeight="1" x14ac:dyDescent="0.25">
      <c r="A131">
        <f t="shared" si="15"/>
        <v>128</v>
      </c>
      <c r="B131" t="str">
        <f t="shared" si="17"/>
        <v>HCl_to_air</v>
      </c>
      <c r="C131" s="218" t="s">
        <v>710</v>
      </c>
      <c r="D131" s="215">
        <f t="shared" si="18"/>
        <v>3.1645951413727479E-9</v>
      </c>
      <c r="E131" s="260">
        <f>(E$112*VLOOKUP($C131,Aggregate!$B$14:$AW$65,24,FALSE)+E$113*VLOOKUP($C131,Aggregate!$B$14:$AW$65,48,FALSE))</f>
        <v>3.1645951413727479E-9</v>
      </c>
      <c r="F131" s="260">
        <f>(F$112*VLOOKUP($C131,Aggregate!$B$14:$AW$65,24,FALSE)+F$113*VLOOKUP($C131,Aggregate!$B$14:$AW$65,48,FALSE))</f>
        <v>3.2687892644991262E-9</v>
      </c>
      <c r="G131" s="260">
        <f>(G$112*VLOOKUP($C131,Aggregate!$B$14:$AW$65,24,FALSE)+G$113*VLOOKUP($C131,Aggregate!$B$14:$AW$65,48,FALSE))</f>
        <v>3.5226475457825498E-9</v>
      </c>
      <c r="H131" s="260">
        <f>(H$112*VLOOKUP($C131,Aggregate!$B$14:$AW$65,24,FALSE)+H$113*VLOOKUP($C131,Aggregate!$B$14:$AW$65,48,FALSE))</f>
        <v>3.6121412177652321E-9</v>
      </c>
      <c r="I131" s="260">
        <f>(I$112*VLOOKUP($C131,Aggregate!$B$14:$AW$65,24,FALSE)+I$113*VLOOKUP($C131,Aggregate!$B$14:$AW$65,48,FALSE))</f>
        <v>3.7087181744020181E-9</v>
      </c>
      <c r="J131" s="260">
        <f>(J$112*VLOOKUP($C131,Aggregate!$B$14:$AW$65,24,FALSE)+J$113*VLOOKUP($C131,Aggregate!$B$14:$AW$65,48,FALSE))</f>
        <v>3.8046332996020713E-9</v>
      </c>
      <c r="K131" s="260">
        <f>(K$112*VLOOKUP($C131,Aggregate!$B$14:$AW$65,24,FALSE)+K$113*VLOOKUP($C131,Aggregate!$B$14:$AW$65,48,FALSE))</f>
        <v>3.8046332996020713E-9</v>
      </c>
      <c r="L131" s="260">
        <f>(L$112*VLOOKUP($C131,Aggregate!$B$14:$AW$65,24,FALSE)+L$113*VLOOKUP($C131,Aggregate!$B$14:$AW$65,48,FALSE))</f>
        <v>3.8046332996020713E-9</v>
      </c>
      <c r="M131" s="260">
        <f>(M$112*VLOOKUP($C131,Aggregate!$B$14:$AW$65,24,FALSE)+M$113*VLOOKUP($C131,Aggregate!$B$14:$AW$65,48,FALSE))</f>
        <v>3.8046332996020713E-9</v>
      </c>
      <c r="N131" s="260">
        <f>(N$112*VLOOKUP($C131,Aggregate!$B$14:$AW$65,24,FALSE)+N$113*VLOOKUP($C131,Aggregate!$B$14:$AW$65,48,FALSE))</f>
        <v>3.8046332996020713E-9</v>
      </c>
      <c r="O131" s="260">
        <f>(O$112*VLOOKUP($C131,Aggregate!$B$14:$AW$65,24,FALSE)+O$113*VLOOKUP($C131,Aggregate!$B$14:$AW$65,48,FALSE))</f>
        <v>3.8045517222668048E-9</v>
      </c>
      <c r="P131" s="260" t="e">
        <f>(P$112*VLOOKUP($C131,Aggregate!$B$14:$AW$65,24,FALSE)+P$113*VLOOKUP($C131,Aggregate!$B$14:$AW$65,48,FALSE))</f>
        <v>#N/A</v>
      </c>
      <c r="Q131" s="216" t="s">
        <v>916</v>
      </c>
    </row>
    <row r="132" spans="1:17" ht="15" customHeight="1" x14ac:dyDescent="0.25">
      <c r="A132">
        <f t="shared" ref="A132:A195" si="19">A131+1</f>
        <v>129</v>
      </c>
      <c r="B132" t="str">
        <f t="shared" si="17"/>
        <v>Pb_to_air</v>
      </c>
      <c r="C132" s="218" t="s">
        <v>711</v>
      </c>
      <c r="D132" s="215">
        <f t="shared" si="18"/>
        <v>6.8421133750137334E-12</v>
      </c>
      <c r="E132" s="260">
        <f>(E$112*VLOOKUP($C132,Aggregate!$B$14:$AW$65,24,FALSE)+E$113*VLOOKUP($C132,Aggregate!$B$14:$AW$65,48,FALSE))</f>
        <v>6.8421133750137334E-12</v>
      </c>
      <c r="F132" s="260">
        <f>(F$112*VLOOKUP($C132,Aggregate!$B$14:$AW$65,24,FALSE)+F$113*VLOOKUP($C132,Aggregate!$B$14:$AW$65,48,FALSE))</f>
        <v>7.067389586217032E-12</v>
      </c>
      <c r="G132" s="260">
        <f>(G$112*VLOOKUP($C132,Aggregate!$B$14:$AW$65,24,FALSE)+G$113*VLOOKUP($C132,Aggregate!$B$14:$AW$65,48,FALSE))</f>
        <v>7.6162519411575959E-12</v>
      </c>
      <c r="H132" s="260">
        <f>(H$112*VLOOKUP($C132,Aggregate!$B$14:$AW$65,24,FALSE)+H$113*VLOOKUP($C132,Aggregate!$B$14:$AW$65,48,FALSE))</f>
        <v>7.8098469846179179E-12</v>
      </c>
      <c r="I132" s="260">
        <f>(I$112*VLOOKUP($C132,Aggregate!$B$14:$AW$65,24,FALSE)+I$113*VLOOKUP($C132,Aggregate!$B$14:$AW$65,48,FALSE))</f>
        <v>8.018656997322798E-12</v>
      </c>
      <c r="J132" s="260">
        <f>(J$112*VLOOKUP($C132,Aggregate!$B$14:$AW$65,24,FALSE)+J$113*VLOOKUP($C132,Aggregate!$B$14:$AW$65,48,FALSE))</f>
        <v>8.2260360575983887E-12</v>
      </c>
      <c r="K132" s="260">
        <f>(K$112*VLOOKUP($C132,Aggregate!$B$14:$AW$65,24,FALSE)+K$113*VLOOKUP($C132,Aggregate!$B$14:$AW$65,48,FALSE))</f>
        <v>8.2260360575983887E-12</v>
      </c>
      <c r="L132" s="260">
        <f>(L$112*VLOOKUP($C132,Aggregate!$B$14:$AW$65,24,FALSE)+L$113*VLOOKUP($C132,Aggregate!$B$14:$AW$65,48,FALSE))</f>
        <v>8.2260360575983887E-12</v>
      </c>
      <c r="M132" s="260">
        <f>(M$112*VLOOKUP($C132,Aggregate!$B$14:$AW$65,24,FALSE)+M$113*VLOOKUP($C132,Aggregate!$B$14:$AW$65,48,FALSE))</f>
        <v>8.2260360575983887E-12</v>
      </c>
      <c r="N132" s="260">
        <f>(N$112*VLOOKUP($C132,Aggregate!$B$14:$AW$65,24,FALSE)+N$113*VLOOKUP($C132,Aggregate!$B$14:$AW$65,48,FALSE))</f>
        <v>8.2260360575983887E-12</v>
      </c>
      <c r="O132" s="260">
        <f>(O$112*VLOOKUP($C132,Aggregate!$B$14:$AW$65,24,FALSE)+O$113*VLOOKUP($C132,Aggregate!$B$14:$AW$65,48,FALSE))</f>
        <v>8.2265806322552624E-12</v>
      </c>
      <c r="P132" s="260" t="e">
        <f>(P$112*VLOOKUP($C132,Aggregate!$B$14:$AW$65,24,FALSE)+P$113*VLOOKUP($C132,Aggregate!$B$14:$AW$65,48,FALSE))</f>
        <v>#N/A</v>
      </c>
      <c r="Q132" s="216" t="s">
        <v>917</v>
      </c>
    </row>
    <row r="133" spans="1:17" ht="15" customHeight="1" x14ac:dyDescent="0.25">
      <c r="A133">
        <f t="shared" si="19"/>
        <v>130</v>
      </c>
      <c r="B133" t="str">
        <f t="shared" si="17"/>
        <v>Mn_to_air</v>
      </c>
      <c r="C133" s="218" t="s">
        <v>712</v>
      </c>
      <c r="D133" s="215">
        <f t="shared" si="18"/>
        <v>1.3583225309039965E-11</v>
      </c>
      <c r="E133" s="260">
        <f>(E$112*VLOOKUP($C133,Aggregate!$B$14:$AW$65,24,FALSE)+E$113*VLOOKUP($C133,Aggregate!$B$14:$AW$65,48,FALSE))</f>
        <v>1.3583225309039965E-11</v>
      </c>
      <c r="F133" s="260">
        <f>(F$112*VLOOKUP($C133,Aggregate!$B$14:$AW$65,24,FALSE)+F$113*VLOOKUP($C133,Aggregate!$B$14:$AW$65,48,FALSE))</f>
        <v>1.4030452264488524E-11</v>
      </c>
      <c r="G133" s="260">
        <f>(G$112*VLOOKUP($C133,Aggregate!$B$14:$AW$65,24,FALSE)+G$113*VLOOKUP($C133,Aggregate!$B$14:$AW$65,48,FALSE))</f>
        <v>1.5120074815619228E-11</v>
      </c>
      <c r="H133" s="260">
        <f>(H$112*VLOOKUP($C133,Aggregate!$B$14:$AW$65,24,FALSE)+H$113*VLOOKUP($C133,Aggregate!$B$14:$AW$65,48,FALSE))</f>
        <v>1.550392963806043E-11</v>
      </c>
      <c r="I133" s="260">
        <f>(I$112*VLOOKUP($C133,Aggregate!$B$14:$AW$65,24,FALSE)+I$113*VLOOKUP($C133,Aggregate!$B$14:$AW$65,48,FALSE))</f>
        <v>1.5918454500208848E-11</v>
      </c>
      <c r="J133" s="260">
        <f>(J$112*VLOOKUP($C133,Aggregate!$B$14:$AW$65,24,FALSE)+J$113*VLOOKUP($C133,Aggregate!$B$14:$AW$65,48,FALSE))</f>
        <v>1.6330138668317699E-11</v>
      </c>
      <c r="K133" s="260">
        <f>(K$112*VLOOKUP($C133,Aggregate!$B$14:$AW$65,24,FALSE)+K$113*VLOOKUP($C133,Aggregate!$B$14:$AW$65,48,FALSE))</f>
        <v>1.6330138668317699E-11</v>
      </c>
      <c r="L133" s="260">
        <f>(L$112*VLOOKUP($C133,Aggregate!$B$14:$AW$65,24,FALSE)+L$113*VLOOKUP($C133,Aggregate!$B$14:$AW$65,48,FALSE))</f>
        <v>1.6330138668317699E-11</v>
      </c>
      <c r="M133" s="260">
        <f>(M$112*VLOOKUP($C133,Aggregate!$B$14:$AW$65,24,FALSE)+M$113*VLOOKUP($C133,Aggregate!$B$14:$AW$65,48,FALSE))</f>
        <v>1.6330138668317699E-11</v>
      </c>
      <c r="N133" s="260">
        <f>(N$112*VLOOKUP($C133,Aggregate!$B$14:$AW$65,24,FALSE)+N$113*VLOOKUP($C133,Aggregate!$B$14:$AW$65,48,FALSE))</f>
        <v>1.6330138668317699E-11</v>
      </c>
      <c r="O133" s="260">
        <f>(O$112*VLOOKUP($C133,Aggregate!$B$14:$AW$65,24,FALSE)+O$113*VLOOKUP($C133,Aggregate!$B$14:$AW$65,48,FALSE))</f>
        <v>1.6327858460581339E-11</v>
      </c>
      <c r="P133" s="260" t="e">
        <f>(P$112*VLOOKUP($C133,Aggregate!$B$14:$AW$65,24,FALSE)+P$113*VLOOKUP($C133,Aggregate!$B$14:$AW$65,48,FALSE))</f>
        <v>#N/A</v>
      </c>
      <c r="Q133" s="216" t="s">
        <v>918</v>
      </c>
    </row>
    <row r="134" spans="1:17" ht="15" customHeight="1" x14ac:dyDescent="0.25">
      <c r="A134">
        <f t="shared" si="19"/>
        <v>131</v>
      </c>
      <c r="B134" t="str">
        <f t="shared" si="17"/>
        <v>Hg_to_air</v>
      </c>
      <c r="C134" s="218" t="s">
        <v>713</v>
      </c>
      <c r="D134" s="215">
        <f t="shared" si="18"/>
        <v>5.1209808032545756E-13</v>
      </c>
      <c r="E134" s="260">
        <f>(E$112*VLOOKUP($C134,Aggregate!$B$14:$AW$65,24,FALSE)+E$113*VLOOKUP($C134,Aggregate!$B$14:$AW$65,48,FALSE))</f>
        <v>5.1209808032545756E-13</v>
      </c>
      <c r="F134" s="260">
        <f>(F$112*VLOOKUP($C134,Aggregate!$B$14:$AW$65,24,FALSE)+F$113*VLOOKUP($C134,Aggregate!$B$14:$AW$65,48,FALSE))</f>
        <v>5.2895888180259902E-13</v>
      </c>
      <c r="G134" s="260">
        <f>(G$112*VLOOKUP($C134,Aggregate!$B$14:$AW$65,24,FALSE)+G$113*VLOOKUP($C134,Aggregate!$B$14:$AW$65,48,FALSE))</f>
        <v>5.7003849316279648E-13</v>
      </c>
      <c r="H134" s="260">
        <f>(H$112*VLOOKUP($C134,Aggregate!$B$14:$AW$65,24,FALSE)+H$113*VLOOKUP($C134,Aggregate!$B$14:$AW$65,48,FALSE))</f>
        <v>5.845161017330919E-13</v>
      </c>
      <c r="I134" s="260">
        <f>(I$112*VLOOKUP($C134,Aggregate!$B$14:$AW$65,24,FALSE)+I$113*VLOOKUP($C134,Aggregate!$B$14:$AW$65,48,FALSE))</f>
        <v>6.0014416907800739E-13</v>
      </c>
      <c r="J134" s="260">
        <f>(J$112*VLOOKUP($C134,Aggregate!$B$14:$AW$65,24,FALSE)+J$113*VLOOKUP($C134,Aggregate!$B$14:$AW$65,48,FALSE))</f>
        <v>6.1566513896795595E-13</v>
      </c>
      <c r="K134" s="260">
        <f>(K$112*VLOOKUP($C134,Aggregate!$B$14:$AW$65,24,FALSE)+K$113*VLOOKUP($C134,Aggregate!$B$14:$AW$65,48,FALSE))</f>
        <v>6.1566513896795595E-13</v>
      </c>
      <c r="L134" s="260">
        <f>(L$112*VLOOKUP($C134,Aggregate!$B$14:$AW$65,24,FALSE)+L$113*VLOOKUP($C134,Aggregate!$B$14:$AW$65,48,FALSE))</f>
        <v>6.1566513896795595E-13</v>
      </c>
      <c r="M134" s="260">
        <f>(M$112*VLOOKUP($C134,Aggregate!$B$14:$AW$65,24,FALSE)+M$113*VLOOKUP($C134,Aggregate!$B$14:$AW$65,48,FALSE))</f>
        <v>6.1566513896795595E-13</v>
      </c>
      <c r="N134" s="260">
        <f>(N$112*VLOOKUP($C134,Aggregate!$B$14:$AW$65,24,FALSE)+N$113*VLOOKUP($C134,Aggregate!$B$14:$AW$65,48,FALSE))</f>
        <v>6.1566513896795595E-13</v>
      </c>
      <c r="O134" s="260">
        <f>(O$112*VLOOKUP($C134,Aggregate!$B$14:$AW$65,24,FALSE)+O$113*VLOOKUP($C134,Aggregate!$B$14:$AW$65,48,FALSE))</f>
        <v>6.1562131023761378E-13</v>
      </c>
      <c r="P134" s="260" t="e">
        <f>(P$112*VLOOKUP($C134,Aggregate!$B$14:$AW$65,24,FALSE)+P$113*VLOOKUP($C134,Aggregate!$B$14:$AW$65,48,FALSE))</f>
        <v>#N/A</v>
      </c>
      <c r="Q134" s="216" t="s">
        <v>919</v>
      </c>
    </row>
    <row r="135" spans="1:17" ht="15" customHeight="1" x14ac:dyDescent="0.25">
      <c r="A135">
        <f t="shared" si="19"/>
        <v>132</v>
      </c>
      <c r="B135" t="str">
        <f t="shared" si="17"/>
        <v>CH4_to_air</v>
      </c>
      <c r="C135" s="218" t="s">
        <v>714</v>
      </c>
      <c r="D135" s="215">
        <f t="shared" si="18"/>
        <v>2.6380321539210694E-8</v>
      </c>
      <c r="E135" s="260">
        <f>(E$112*VLOOKUP($C135,Aggregate!$B$14:$AW$65,24,FALSE)+E$113*VLOOKUP($C135,Aggregate!$B$14:$AW$65,48,FALSE))</f>
        <v>2.6380321539210694E-8</v>
      </c>
      <c r="F135" s="260">
        <f>(F$112*VLOOKUP($C135,Aggregate!$B$14:$AW$65,24,FALSE)+F$113*VLOOKUP($C135,Aggregate!$B$14:$AW$65,48,FALSE))</f>
        <v>2.7248892192889198E-8</v>
      </c>
      <c r="G135" s="260">
        <f>(G$112*VLOOKUP($C135,Aggregate!$B$14:$AW$65,24,FALSE)+G$113*VLOOKUP($C135,Aggregate!$B$14:$AW$65,48,FALSE))</f>
        <v>2.9365075396893973E-8</v>
      </c>
      <c r="H135" s="260">
        <f>(H$112*VLOOKUP($C135,Aggregate!$B$14:$AW$65,24,FALSE)+H$113*VLOOKUP($C135,Aggregate!$B$14:$AW$65,48,FALSE))</f>
        <v>2.9981354115994991E-8</v>
      </c>
      <c r="I135" s="260">
        <f>(I$112*VLOOKUP($C135,Aggregate!$B$14:$AW$65,24,FALSE)+I$113*VLOOKUP($C135,Aggregate!$B$14:$AW$65,48,FALSE))</f>
        <v>3.0782958417103678E-8</v>
      </c>
      <c r="J135" s="260">
        <f>(J$112*VLOOKUP($C135,Aggregate!$B$14:$AW$65,24,FALSE)+J$113*VLOOKUP($C135,Aggregate!$B$14:$AW$65,48,FALSE))</f>
        <v>3.1579069410649461E-8</v>
      </c>
      <c r="K135" s="260">
        <f>(K$112*VLOOKUP($C135,Aggregate!$B$14:$AW$65,24,FALSE)+K$113*VLOOKUP($C135,Aggregate!$B$14:$AW$65,48,FALSE))</f>
        <v>3.1579069410649461E-8</v>
      </c>
      <c r="L135" s="260">
        <f>(L$112*VLOOKUP($C135,Aggregate!$B$14:$AW$65,24,FALSE)+L$113*VLOOKUP($C135,Aggregate!$B$14:$AW$65,48,FALSE))</f>
        <v>3.1579069410649461E-8</v>
      </c>
      <c r="M135" s="260">
        <f>(M$112*VLOOKUP($C135,Aggregate!$B$14:$AW$65,24,FALSE)+M$113*VLOOKUP($C135,Aggregate!$B$14:$AW$65,48,FALSE))</f>
        <v>3.1579069410649461E-8</v>
      </c>
      <c r="N135" s="260">
        <f>(N$112*VLOOKUP($C135,Aggregate!$B$14:$AW$65,24,FALSE)+N$113*VLOOKUP($C135,Aggregate!$B$14:$AW$65,48,FALSE))</f>
        <v>3.1579069410649461E-8</v>
      </c>
      <c r="O135" s="260">
        <f>(O$112*VLOOKUP($C135,Aggregate!$B$14:$AW$65,24,FALSE)+O$113*VLOOKUP($C135,Aggregate!$B$14:$AW$65,48,FALSE))</f>
        <v>3.0664977317162427E-8</v>
      </c>
      <c r="P135" s="260" t="e">
        <f>(P$112*VLOOKUP($C135,Aggregate!$B$14:$AW$65,24,FALSE)+P$113*VLOOKUP($C135,Aggregate!$B$14:$AW$65,48,FALSE))</f>
        <v>#N/A</v>
      </c>
      <c r="Q135" s="216" t="s">
        <v>920</v>
      </c>
    </row>
    <row r="136" spans="1:17" ht="15" customHeight="1" x14ac:dyDescent="0.25">
      <c r="A136">
        <f t="shared" si="19"/>
        <v>133</v>
      </c>
      <c r="B136" t="str">
        <f t="shared" si="17"/>
        <v>Ni_to_air</v>
      </c>
      <c r="C136" s="218" t="s">
        <v>715</v>
      </c>
      <c r="D136" s="215">
        <f t="shared" si="18"/>
        <v>3.8247832960068788E-10</v>
      </c>
      <c r="E136" s="260">
        <f>(E$112*VLOOKUP($C136,Aggregate!$B$14:$AW$65,24,FALSE)+E$113*VLOOKUP($C136,Aggregate!$B$14:$AW$65,48,FALSE))</f>
        <v>3.8247832960068788E-10</v>
      </c>
      <c r="F136" s="260">
        <f>(F$112*VLOOKUP($C136,Aggregate!$B$14:$AW$65,24,FALSE)+F$113*VLOOKUP($C136,Aggregate!$B$14:$AW$65,48,FALSE))</f>
        <v>3.9507140782626405E-10</v>
      </c>
      <c r="G136" s="260">
        <f>(G$112*VLOOKUP($C136,Aggregate!$B$14:$AW$65,24,FALSE)+G$113*VLOOKUP($C136,Aggregate!$B$14:$AW$65,48,FALSE))</f>
        <v>4.2575314973732169E-10</v>
      </c>
      <c r="H136" s="260">
        <f>(H$112*VLOOKUP($C136,Aggregate!$B$14:$AW$65,24,FALSE)+H$113*VLOOKUP($C136,Aggregate!$B$14:$AW$65,48,FALSE))</f>
        <v>4.3656422827346356E-10</v>
      </c>
      <c r="I136" s="260">
        <f>(I$112*VLOOKUP($C136,Aggregate!$B$14:$AW$65,24,FALSE)+I$113*VLOOKUP($C136,Aggregate!$B$14:$AW$65,48,FALSE))</f>
        <v>4.4823654173002963E-10</v>
      </c>
      <c r="J136" s="260">
        <f>(J$112*VLOOKUP($C136,Aggregate!$B$14:$AW$65,24,FALSE)+J$113*VLOOKUP($C136,Aggregate!$B$14:$AW$65,48,FALSE))</f>
        <v>4.5982886608511669E-10</v>
      </c>
      <c r="K136" s="260">
        <f>(K$112*VLOOKUP($C136,Aggregate!$B$14:$AW$65,24,FALSE)+K$113*VLOOKUP($C136,Aggregate!$B$14:$AW$65,48,FALSE))</f>
        <v>4.5982886608511669E-10</v>
      </c>
      <c r="L136" s="260">
        <f>(L$112*VLOOKUP($C136,Aggregate!$B$14:$AW$65,24,FALSE)+L$113*VLOOKUP($C136,Aggregate!$B$14:$AW$65,48,FALSE))</f>
        <v>4.5982886608511669E-10</v>
      </c>
      <c r="M136" s="260">
        <f>(M$112*VLOOKUP($C136,Aggregate!$B$14:$AW$65,24,FALSE)+M$113*VLOOKUP($C136,Aggregate!$B$14:$AW$65,48,FALSE))</f>
        <v>4.5982886608511669E-10</v>
      </c>
      <c r="N136" s="260">
        <f>(N$112*VLOOKUP($C136,Aggregate!$B$14:$AW$65,24,FALSE)+N$113*VLOOKUP($C136,Aggregate!$B$14:$AW$65,48,FALSE))</f>
        <v>4.5982886608511669E-10</v>
      </c>
      <c r="O136" s="260">
        <f>(O$112*VLOOKUP($C136,Aggregate!$B$14:$AW$65,24,FALSE)+O$113*VLOOKUP($C136,Aggregate!$B$14:$AW$65,48,FALSE))</f>
        <v>4.59781848049547E-10</v>
      </c>
      <c r="P136" s="260" t="e">
        <f>(P$112*VLOOKUP($C136,Aggregate!$B$14:$AW$65,24,FALSE)+P$113*VLOOKUP($C136,Aggregate!$B$14:$AW$65,48,FALSE))</f>
        <v>#N/A</v>
      </c>
      <c r="Q136" s="216" t="s">
        <v>921</v>
      </c>
    </row>
    <row r="137" spans="1:17" ht="15" customHeight="1" x14ac:dyDescent="0.25">
      <c r="A137">
        <f t="shared" si="19"/>
        <v>134</v>
      </c>
      <c r="B137" t="str">
        <f t="shared" si="17"/>
        <v>NOx_to_air</v>
      </c>
      <c r="C137" s="218" t="s">
        <v>716</v>
      </c>
      <c r="D137" s="215">
        <f t="shared" si="18"/>
        <v>4.3055549133478427E-6</v>
      </c>
      <c r="E137" s="260">
        <f>(E$112*VLOOKUP($C137,Aggregate!$B$14:$AW$65,24,FALSE)+E$113*VLOOKUP($C137,Aggregate!$B$14:$AW$65,48,FALSE))</f>
        <v>4.3055549133478427E-6</v>
      </c>
      <c r="F137" s="260">
        <f>(F$112*VLOOKUP($C137,Aggregate!$B$14:$AW$65,24,FALSE)+F$113*VLOOKUP($C137,Aggregate!$B$14:$AW$65,48,FALSE))</f>
        <v>4.4473150749886603E-6</v>
      </c>
      <c r="G137" s="260">
        <f>(G$112*VLOOKUP($C137,Aggregate!$B$14:$AW$65,24,FALSE)+G$113*VLOOKUP($C137,Aggregate!$B$14:$AW$65,48,FALSE))</f>
        <v>4.7926991514489942E-6</v>
      </c>
      <c r="H137" s="260">
        <f>(H$112*VLOOKUP($C137,Aggregate!$B$14:$AW$65,24,FALSE)+H$113*VLOOKUP($C137,Aggregate!$B$14:$AW$65,48,FALSE))</f>
        <v>4.8910066777639803E-6</v>
      </c>
      <c r="I137" s="260">
        <f>(I$112*VLOOKUP($C137,Aggregate!$B$14:$AW$65,24,FALSE)+I$113*VLOOKUP($C137,Aggregate!$B$14:$AW$65,48,FALSE))</f>
        <v>5.0217763546264159E-6</v>
      </c>
      <c r="J137" s="260">
        <f>(J$112*VLOOKUP($C137,Aggregate!$B$14:$AW$65,24,FALSE)+J$113*VLOOKUP($C137,Aggregate!$B$14:$AW$65,48,FALSE))</f>
        <v>5.1516498810391684E-6</v>
      </c>
      <c r="K137" s="260">
        <f>(K$112*VLOOKUP($C137,Aggregate!$B$14:$AW$65,24,FALSE)+K$113*VLOOKUP($C137,Aggregate!$B$14:$AW$65,48,FALSE))</f>
        <v>5.1516498810391684E-6</v>
      </c>
      <c r="L137" s="260">
        <f>(L$112*VLOOKUP($C137,Aggregate!$B$14:$AW$65,24,FALSE)+L$113*VLOOKUP($C137,Aggregate!$B$14:$AW$65,48,FALSE))</f>
        <v>5.1516498810391684E-6</v>
      </c>
      <c r="M137" s="260">
        <f>(M$112*VLOOKUP($C137,Aggregate!$B$14:$AW$65,24,FALSE)+M$113*VLOOKUP($C137,Aggregate!$B$14:$AW$65,48,FALSE))</f>
        <v>5.1516498810391684E-6</v>
      </c>
      <c r="N137" s="260">
        <f>(N$112*VLOOKUP($C137,Aggregate!$B$14:$AW$65,24,FALSE)+N$113*VLOOKUP($C137,Aggregate!$B$14:$AW$65,48,FALSE))</f>
        <v>5.1516498810391684E-6</v>
      </c>
      <c r="O137" s="260">
        <f>(O$112*VLOOKUP($C137,Aggregate!$B$14:$AW$65,24,FALSE)+O$113*VLOOKUP($C137,Aggregate!$B$14:$AW$65,48,FALSE))</f>
        <v>4.9864383428814256E-6</v>
      </c>
      <c r="P137" s="260" t="e">
        <f>(P$112*VLOOKUP($C137,Aggregate!$B$14:$AW$65,24,FALSE)+P$113*VLOOKUP($C137,Aggregate!$B$14:$AW$65,48,FALSE))</f>
        <v>#N/A</v>
      </c>
      <c r="Q137" s="216" t="s">
        <v>922</v>
      </c>
    </row>
    <row r="138" spans="1:17" ht="15" customHeight="1" x14ac:dyDescent="0.25">
      <c r="A138">
        <f t="shared" si="19"/>
        <v>135</v>
      </c>
      <c r="B138" t="str">
        <f t="shared" si="17"/>
        <v>PM_to_air</v>
      </c>
      <c r="C138" s="218" t="s">
        <v>717</v>
      </c>
      <c r="D138" s="215">
        <f t="shared" si="18"/>
        <v>7.5777150077409447E-5</v>
      </c>
      <c r="E138" s="260">
        <f>(E$112*VLOOKUP($C138,Aggregate!$B$14:$AW$65,24,FALSE)+E$113*VLOOKUP($C138,Aggregate!$B$14:$AW$65,48,FALSE))</f>
        <v>7.5777150077409447E-5</v>
      </c>
      <c r="F138" s="260">
        <f>(F$112*VLOOKUP($C138,Aggregate!$B$14:$AW$65,24,FALSE)+F$113*VLOOKUP($C138,Aggregate!$B$14:$AW$65,48,FALSE))</f>
        <v>7.8272108627433219E-5</v>
      </c>
      <c r="G138" s="260">
        <f>(G$112*VLOOKUP($C138,Aggregate!$B$14:$AW$65,24,FALSE)+G$113*VLOOKUP($C138,Aggregate!$B$14:$AW$65,48,FALSE))</f>
        <v>8.4350818926805888E-5</v>
      </c>
      <c r="H138" s="260">
        <f>(H$112*VLOOKUP($C138,Aggregate!$B$14:$AW$65,24,FALSE)+H$113*VLOOKUP($C138,Aggregate!$B$14:$AW$65,48,FALSE))</f>
        <v>8.6828022602962216E-5</v>
      </c>
      <c r="I138" s="260">
        <f>(I$112*VLOOKUP($C138,Aggregate!$B$14:$AW$65,24,FALSE)+I$113*VLOOKUP($C138,Aggregate!$B$14:$AW$65,48,FALSE))</f>
        <v>8.91495226961873E-5</v>
      </c>
      <c r="J138" s="260">
        <f>(J$112*VLOOKUP($C138,Aggregate!$B$14:$AW$65,24,FALSE)+J$113*VLOOKUP($C138,Aggregate!$B$14:$AW$65,48,FALSE))</f>
        <v>9.1455113800399033E-5</v>
      </c>
      <c r="K138" s="260">
        <f>(K$112*VLOOKUP($C138,Aggregate!$B$14:$AW$65,24,FALSE)+K$113*VLOOKUP($C138,Aggregate!$B$14:$AW$65,48,FALSE))</f>
        <v>9.1455113800399033E-5</v>
      </c>
      <c r="L138" s="260">
        <f>(L$112*VLOOKUP($C138,Aggregate!$B$14:$AW$65,24,FALSE)+L$113*VLOOKUP($C138,Aggregate!$B$14:$AW$65,48,FALSE))</f>
        <v>9.1455113800399033E-5</v>
      </c>
      <c r="M138" s="260">
        <f>(M$112*VLOOKUP($C138,Aggregate!$B$14:$AW$65,24,FALSE)+M$113*VLOOKUP($C138,Aggregate!$B$14:$AW$65,48,FALSE))</f>
        <v>9.1455113800399033E-5</v>
      </c>
      <c r="N138" s="260">
        <f>(N$112*VLOOKUP($C138,Aggregate!$B$14:$AW$65,24,FALSE)+N$113*VLOOKUP($C138,Aggregate!$B$14:$AW$65,48,FALSE))</f>
        <v>9.1455113800399033E-5</v>
      </c>
      <c r="O138" s="260">
        <f>(O$112*VLOOKUP($C138,Aggregate!$B$14:$AW$65,24,FALSE)+O$113*VLOOKUP($C138,Aggregate!$B$14:$AW$65,48,FALSE))</f>
        <v>9.3806260605964762E-5</v>
      </c>
      <c r="P138" s="260" t="e">
        <f>(P$112*VLOOKUP($C138,Aggregate!$B$14:$AW$65,24,FALSE)+P$113*VLOOKUP($C138,Aggregate!$B$14:$AW$65,48,FALSE))</f>
        <v>#N/A</v>
      </c>
      <c r="Q138" s="216" t="s">
        <v>923</v>
      </c>
    </row>
    <row r="139" spans="1:17" ht="15" customHeight="1" x14ac:dyDescent="0.25">
      <c r="A139">
        <f t="shared" si="19"/>
        <v>136</v>
      </c>
      <c r="B139" t="str">
        <f t="shared" si="17"/>
        <v>Perch_air</v>
      </c>
      <c r="C139" s="218" t="s">
        <v>718</v>
      </c>
      <c r="D139" s="215">
        <f t="shared" si="18"/>
        <v>3.1698529058821945E-13</v>
      </c>
      <c r="E139" s="260">
        <f>(E$112*VLOOKUP($C139,Aggregate!$B$14:$AW$65,24,FALSE)+E$113*VLOOKUP($C139,Aggregate!$B$14:$AW$65,48,FALSE))</f>
        <v>3.1698529058821945E-13</v>
      </c>
      <c r="F139" s="260">
        <f>(F$112*VLOOKUP($C139,Aggregate!$B$14:$AW$65,24,FALSE)+F$113*VLOOKUP($C139,Aggregate!$B$14:$AW$65,48,FALSE))</f>
        <v>3.2742201406194397E-13</v>
      </c>
      <c r="G139" s="260">
        <f>(G$112*VLOOKUP($C139,Aggregate!$B$14:$AW$65,24,FALSE)+G$113*VLOOKUP($C139,Aggregate!$B$14:$AW$65,48,FALSE))</f>
        <v>3.5285001905658792E-13</v>
      </c>
      <c r="H139" s="260">
        <f>(H$112*VLOOKUP($C139,Aggregate!$B$14:$AW$65,24,FALSE)+H$113*VLOOKUP($C139,Aggregate!$B$14:$AW$65,48,FALSE))</f>
        <v>3.6180252517914996E-13</v>
      </c>
      <c r="I139" s="260">
        <f>(I$112*VLOOKUP($C139,Aggregate!$B$14:$AW$65,24,FALSE)+I$113*VLOOKUP($C139,Aggregate!$B$14:$AW$65,48,FALSE))</f>
        <v>3.7147595284400859E-13</v>
      </c>
      <c r="J139" s="260">
        <f>(J$112*VLOOKUP($C139,Aggregate!$B$14:$AW$65,24,FALSE)+J$113*VLOOKUP($C139,Aggregate!$B$14:$AW$65,48,FALSE))</f>
        <v>3.8108308955549161E-13</v>
      </c>
      <c r="K139" s="260">
        <f>(K$112*VLOOKUP($C139,Aggregate!$B$14:$AW$65,24,FALSE)+K$113*VLOOKUP($C139,Aggregate!$B$14:$AW$65,48,FALSE))</f>
        <v>3.8108308955549161E-13</v>
      </c>
      <c r="L139" s="260">
        <f>(L$112*VLOOKUP($C139,Aggregate!$B$14:$AW$65,24,FALSE)+L$113*VLOOKUP($C139,Aggregate!$B$14:$AW$65,48,FALSE))</f>
        <v>3.8108308955549161E-13</v>
      </c>
      <c r="M139" s="260">
        <f>(M$112*VLOOKUP($C139,Aggregate!$B$14:$AW$65,24,FALSE)+M$113*VLOOKUP($C139,Aggregate!$B$14:$AW$65,48,FALSE))</f>
        <v>3.8108308955549161E-13</v>
      </c>
      <c r="N139" s="260">
        <f>(N$112*VLOOKUP($C139,Aggregate!$B$14:$AW$65,24,FALSE)+N$113*VLOOKUP($C139,Aggregate!$B$14:$AW$65,48,FALSE))</f>
        <v>3.8108308955549161E-13</v>
      </c>
      <c r="O139" s="260">
        <f>(O$112*VLOOKUP($C139,Aggregate!$B$14:$AW$65,24,FALSE)+O$113*VLOOKUP($C139,Aggregate!$B$14:$AW$65,48,FALSE))</f>
        <v>3.8099234120732577E-13</v>
      </c>
      <c r="P139" s="260" t="e">
        <f>(P$112*VLOOKUP($C139,Aggregate!$B$14:$AW$65,24,FALSE)+P$113*VLOOKUP($C139,Aggregate!$B$14:$AW$65,48,FALSE))</f>
        <v>#N/A</v>
      </c>
      <c r="Q139" s="216" t="s">
        <v>924</v>
      </c>
    </row>
    <row r="140" spans="1:17" ht="15" customHeight="1" x14ac:dyDescent="0.25">
      <c r="A140">
        <f t="shared" si="19"/>
        <v>137</v>
      </c>
      <c r="B140" t="str">
        <f t="shared" si="17"/>
        <v>RN_to_air</v>
      </c>
      <c r="C140" s="218" t="s">
        <v>719</v>
      </c>
      <c r="D140" s="215">
        <f t="shared" si="18"/>
        <v>1.7028661388942697E-6</v>
      </c>
      <c r="E140" s="260">
        <f>(E$112*VLOOKUP($C140,Aggregate!$B$14:$AW$65,24,FALSE)+E$113*VLOOKUP($C140,Aggregate!$B$14:$AW$65,48,FALSE))</f>
        <v>1.7028661388942697E-6</v>
      </c>
      <c r="F140" s="260">
        <f>(F$112*VLOOKUP($C140,Aggregate!$B$14:$AW$65,24,FALSE)+F$113*VLOOKUP($C140,Aggregate!$B$14:$AW$65,48,FALSE))</f>
        <v>1.7589329140163234E-6</v>
      </c>
      <c r="G140" s="260">
        <f>(G$112*VLOOKUP($C140,Aggregate!$B$14:$AW$65,24,FALSE)+G$113*VLOOKUP($C140,Aggregate!$B$14:$AW$65,48,FALSE))</f>
        <v>1.8955338540935811E-6</v>
      </c>
      <c r="H140" s="260">
        <f>(H$112*VLOOKUP($C140,Aggregate!$B$14:$AW$65,24,FALSE)+H$113*VLOOKUP($C140,Aggregate!$B$14:$AW$65,48,FALSE))</f>
        <v>1.943658420248755E-6</v>
      </c>
      <c r="I140" s="260">
        <f>(I$112*VLOOKUP($C140,Aggregate!$B$14:$AW$65,24,FALSE)+I$113*VLOOKUP($C140,Aggregate!$B$14:$AW$65,48,FALSE))</f>
        <v>1.9956255510037431E-6</v>
      </c>
      <c r="J140" s="260">
        <f>(J$112*VLOOKUP($C140,Aggregate!$B$14:$AW$65,24,FALSE)+J$113*VLOOKUP($C140,Aggregate!$B$14:$AW$65,48,FALSE))</f>
        <v>2.0472365566331505E-6</v>
      </c>
      <c r="K140" s="260">
        <f>(K$112*VLOOKUP($C140,Aggregate!$B$14:$AW$65,24,FALSE)+K$113*VLOOKUP($C140,Aggregate!$B$14:$AW$65,48,FALSE))</f>
        <v>2.0472365566331505E-6</v>
      </c>
      <c r="L140" s="260">
        <f>(L$112*VLOOKUP($C140,Aggregate!$B$14:$AW$65,24,FALSE)+L$113*VLOOKUP($C140,Aggregate!$B$14:$AW$65,48,FALSE))</f>
        <v>2.0472365566331505E-6</v>
      </c>
      <c r="M140" s="260">
        <f>(M$112*VLOOKUP($C140,Aggregate!$B$14:$AW$65,24,FALSE)+M$113*VLOOKUP($C140,Aggregate!$B$14:$AW$65,48,FALSE))</f>
        <v>2.0472365566331505E-6</v>
      </c>
      <c r="N140" s="260">
        <f>(N$112*VLOOKUP($C140,Aggregate!$B$14:$AW$65,24,FALSE)+N$113*VLOOKUP($C140,Aggregate!$B$14:$AW$65,48,FALSE))</f>
        <v>2.0472365566331505E-6</v>
      </c>
      <c r="O140" s="260">
        <f>(O$112*VLOOKUP($C140,Aggregate!$B$14:$AW$65,24,FALSE)+O$113*VLOOKUP($C140,Aggregate!$B$14:$AW$65,48,FALSE))</f>
        <v>2.0469680316973015E-6</v>
      </c>
      <c r="P140" s="260" t="e">
        <f>(P$112*VLOOKUP($C140,Aggregate!$B$14:$AW$65,24,FALSE)+P$113*VLOOKUP($C140,Aggregate!$B$14:$AW$65,48,FALSE))</f>
        <v>#N/A</v>
      </c>
      <c r="Q140" s="216" t="s">
        <v>1064</v>
      </c>
    </row>
    <row r="141" spans="1:17" ht="15" customHeight="1" x14ac:dyDescent="0.25">
      <c r="A141">
        <f t="shared" si="19"/>
        <v>138</v>
      </c>
      <c r="B141" t="str">
        <f t="shared" si="17"/>
        <v>Se_to_air</v>
      </c>
      <c r="C141" s="218" t="s">
        <v>720</v>
      </c>
      <c r="D141" s="215">
        <f t="shared" si="18"/>
        <v>3.0922410661248803E-12</v>
      </c>
      <c r="E141" s="260">
        <f>(E$112*VLOOKUP($C141,Aggregate!$B$14:$AW$65,24,FALSE)+E$113*VLOOKUP($C141,Aggregate!$B$14:$AW$65,48,FALSE))</f>
        <v>3.0922410661248803E-12</v>
      </c>
      <c r="F141" s="260">
        <f>(F$112*VLOOKUP($C141,Aggregate!$B$14:$AW$65,24,FALSE)+F$113*VLOOKUP($C141,Aggregate!$B$14:$AW$65,48,FALSE))</f>
        <v>3.194052935254053E-12</v>
      </c>
      <c r="G141" s="260">
        <f>(G$112*VLOOKUP($C141,Aggregate!$B$14:$AW$65,24,FALSE)+G$113*VLOOKUP($C141,Aggregate!$B$14:$AW$65,48,FALSE))</f>
        <v>3.4421070993073951E-12</v>
      </c>
      <c r="H141" s="260">
        <f>(H$112*VLOOKUP($C141,Aggregate!$B$14:$AW$65,24,FALSE)+H$113*VLOOKUP($C141,Aggregate!$B$14:$AW$65,48,FALSE))</f>
        <v>3.5294717517400908E-12</v>
      </c>
      <c r="I141" s="260">
        <f>(I$112*VLOOKUP($C141,Aggregate!$B$14:$AW$65,24,FALSE)+I$113*VLOOKUP($C141,Aggregate!$B$14:$AW$65,48,FALSE))</f>
        <v>3.6238383946172077E-12</v>
      </c>
      <c r="J141" s="260">
        <f>(J$112*VLOOKUP($C141,Aggregate!$B$14:$AW$65,24,FALSE)+J$113*VLOOKUP($C141,Aggregate!$B$14:$AW$65,48,FALSE))</f>
        <v>3.7175583530986869E-12</v>
      </c>
      <c r="K141" s="260">
        <f>(K$112*VLOOKUP($C141,Aggregate!$B$14:$AW$65,24,FALSE)+K$113*VLOOKUP($C141,Aggregate!$B$14:$AW$65,48,FALSE))</f>
        <v>3.7175583530986869E-12</v>
      </c>
      <c r="L141" s="260">
        <f>(L$112*VLOOKUP($C141,Aggregate!$B$14:$AW$65,24,FALSE)+L$113*VLOOKUP($C141,Aggregate!$B$14:$AW$65,48,FALSE))</f>
        <v>3.7175583530986869E-12</v>
      </c>
      <c r="M141" s="260">
        <f>(M$112*VLOOKUP($C141,Aggregate!$B$14:$AW$65,24,FALSE)+M$113*VLOOKUP($C141,Aggregate!$B$14:$AW$65,48,FALSE))</f>
        <v>3.7175583530986869E-12</v>
      </c>
      <c r="N141" s="260">
        <f>(N$112*VLOOKUP($C141,Aggregate!$B$14:$AW$65,24,FALSE)+N$113*VLOOKUP($C141,Aggregate!$B$14:$AW$65,48,FALSE))</f>
        <v>3.7175583530986869E-12</v>
      </c>
      <c r="O141" s="260">
        <f>(O$112*VLOOKUP($C141,Aggregate!$B$14:$AW$65,24,FALSE)+O$113*VLOOKUP($C141,Aggregate!$B$14:$AW$65,48,FALSE))</f>
        <v>3.7168952372124167E-12</v>
      </c>
      <c r="P141" s="260" t="e">
        <f>(P$112*VLOOKUP($C141,Aggregate!$B$14:$AW$65,24,FALSE)+P$113*VLOOKUP($C141,Aggregate!$B$14:$AW$65,48,FALSE))</f>
        <v>#N/A</v>
      </c>
      <c r="Q141" s="216" t="s">
        <v>925</v>
      </c>
    </row>
    <row r="142" spans="1:17" ht="15" customHeight="1" x14ac:dyDescent="0.25">
      <c r="A142">
        <f t="shared" si="19"/>
        <v>139</v>
      </c>
      <c r="B142" t="str">
        <f t="shared" si="17"/>
        <v>SOx_to_air</v>
      </c>
      <c r="C142" s="218" t="s">
        <v>721</v>
      </c>
      <c r="D142" s="215">
        <f t="shared" si="18"/>
        <v>3.2041704526162114E-7</v>
      </c>
      <c r="E142" s="260">
        <f>(E$112*VLOOKUP($C142,Aggregate!$B$14:$AW$65,24,FALSE)+E$113*VLOOKUP($C142,Aggregate!$B$14:$AW$65,48,FALSE))</f>
        <v>3.2041704526162114E-7</v>
      </c>
      <c r="F142" s="260">
        <f>(F$112*VLOOKUP($C142,Aggregate!$B$14:$AW$65,24,FALSE)+F$113*VLOOKUP($C142,Aggregate!$B$14:$AW$65,48,FALSE))</f>
        <v>3.3096675907155179E-7</v>
      </c>
      <c r="G142" s="260">
        <f>(G$112*VLOOKUP($C142,Aggregate!$B$14:$AW$65,24,FALSE)+G$113*VLOOKUP($C142,Aggregate!$B$14:$AW$65,48,FALSE))</f>
        <v>3.5667005341736316E-7</v>
      </c>
      <c r="H142" s="260">
        <f>(H$112*VLOOKUP($C142,Aggregate!$B$14:$AW$65,24,FALSE)+H$113*VLOOKUP($C142,Aggregate!$B$14:$AW$65,48,FALSE))</f>
        <v>3.6499992811355488E-7</v>
      </c>
      <c r="I142" s="260">
        <f>(I$112*VLOOKUP($C142,Aggregate!$B$14:$AW$65,24,FALSE)+I$113*VLOOKUP($C142,Aggregate!$B$14:$AW$65,48,FALSE))</f>
        <v>3.7475884397666773E-7</v>
      </c>
      <c r="J142" s="260">
        <f>(J$112*VLOOKUP($C142,Aggregate!$B$14:$AW$65,24,FALSE)+J$113*VLOOKUP($C142,Aggregate!$B$14:$AW$65,48,FALSE))</f>
        <v>3.8445088304502981E-7</v>
      </c>
      <c r="K142" s="260">
        <f>(K$112*VLOOKUP($C142,Aggregate!$B$14:$AW$65,24,FALSE)+K$113*VLOOKUP($C142,Aggregate!$B$14:$AW$65,48,FALSE))</f>
        <v>3.8445088304502981E-7</v>
      </c>
      <c r="L142" s="260">
        <f>(L$112*VLOOKUP($C142,Aggregate!$B$14:$AW$65,24,FALSE)+L$113*VLOOKUP($C142,Aggregate!$B$14:$AW$65,48,FALSE))</f>
        <v>3.8445088304502981E-7</v>
      </c>
      <c r="M142" s="260">
        <f>(M$112*VLOOKUP($C142,Aggregate!$B$14:$AW$65,24,FALSE)+M$113*VLOOKUP($C142,Aggregate!$B$14:$AW$65,48,FALSE))</f>
        <v>3.8445088304502981E-7</v>
      </c>
      <c r="N142" s="260">
        <f>(N$112*VLOOKUP($C142,Aggregate!$B$14:$AW$65,24,FALSE)+N$113*VLOOKUP($C142,Aggregate!$B$14:$AW$65,48,FALSE))</f>
        <v>3.8445088304502981E-7</v>
      </c>
      <c r="O142" s="260">
        <f>(O$112*VLOOKUP($C142,Aggregate!$B$14:$AW$65,24,FALSE)+O$113*VLOOKUP($C142,Aggregate!$B$14:$AW$65,48,FALSE))</f>
        <v>3.7929356546836948E-7</v>
      </c>
      <c r="P142" s="260" t="e">
        <f>(P$112*VLOOKUP($C142,Aggregate!$B$14:$AW$65,24,FALSE)+P$113*VLOOKUP($C142,Aggregate!$B$14:$AW$65,48,FALSE))</f>
        <v>#N/A</v>
      </c>
      <c r="Q142" s="216" t="s">
        <v>926</v>
      </c>
    </row>
    <row r="143" spans="1:17" ht="15" customHeight="1" x14ac:dyDescent="0.25">
      <c r="A143">
        <f t="shared" si="19"/>
        <v>140</v>
      </c>
      <c r="B143" t="str">
        <f t="shared" si="17"/>
        <v>NMVOC_air</v>
      </c>
      <c r="C143" s="218" t="s">
        <v>722</v>
      </c>
      <c r="D143" s="215">
        <f t="shared" si="18"/>
        <v>2.9166173054612299E-7</v>
      </c>
      <c r="E143" s="260">
        <f>(E$112*VLOOKUP($C143,Aggregate!$B$14:$AW$65,24,FALSE)+E$113*VLOOKUP($C143,Aggregate!$B$14:$AW$65,48,FALSE))</f>
        <v>2.9166173054612299E-7</v>
      </c>
      <c r="F143" s="260">
        <f>(F$112*VLOOKUP($C143,Aggregate!$B$14:$AW$65,24,FALSE)+F$113*VLOOKUP($C143,Aggregate!$B$14:$AW$65,48,FALSE))</f>
        <v>3.0126467718105738E-7</v>
      </c>
      <c r="G143" s="260">
        <f>(G$112*VLOOKUP($C143,Aggregate!$B$14:$AW$65,24,FALSE)+G$113*VLOOKUP($C143,Aggregate!$B$14:$AW$65,48,FALSE))</f>
        <v>3.2466127052868869E-7</v>
      </c>
      <c r="H143" s="260">
        <f>(H$112*VLOOKUP($C143,Aggregate!$B$14:$AW$65,24,FALSE)+H$113*VLOOKUP($C143,Aggregate!$B$14:$AW$65,48,FALSE))</f>
        <v>3.3118803379574775E-7</v>
      </c>
      <c r="I143" s="260">
        <f>(I$112*VLOOKUP($C143,Aggregate!$B$14:$AW$65,24,FALSE)+I$113*VLOOKUP($C143,Aggregate!$B$14:$AW$65,48,FALSE))</f>
        <v>3.4004292911966395E-7</v>
      </c>
      <c r="J143" s="260">
        <f>(J$112*VLOOKUP($C143,Aggregate!$B$14:$AW$65,24,FALSE)+J$113*VLOOKUP($C143,Aggregate!$B$14:$AW$65,48,FALSE))</f>
        <v>3.4883714280379324E-7</v>
      </c>
      <c r="K143" s="260">
        <f>(K$112*VLOOKUP($C143,Aggregate!$B$14:$AW$65,24,FALSE)+K$113*VLOOKUP($C143,Aggregate!$B$14:$AW$65,48,FALSE))</f>
        <v>3.4883714280379324E-7</v>
      </c>
      <c r="L143" s="260">
        <f>(L$112*VLOOKUP($C143,Aggregate!$B$14:$AW$65,24,FALSE)+L$113*VLOOKUP($C143,Aggregate!$B$14:$AW$65,48,FALSE))</f>
        <v>3.4883714280379324E-7</v>
      </c>
      <c r="M143" s="260">
        <f>(M$112*VLOOKUP($C143,Aggregate!$B$14:$AW$65,24,FALSE)+M$113*VLOOKUP($C143,Aggregate!$B$14:$AW$65,48,FALSE))</f>
        <v>3.4883714280379324E-7</v>
      </c>
      <c r="N143" s="260">
        <f>(N$112*VLOOKUP($C143,Aggregate!$B$14:$AW$65,24,FALSE)+N$113*VLOOKUP($C143,Aggregate!$B$14:$AW$65,48,FALSE))</f>
        <v>3.4883714280379324E-7</v>
      </c>
      <c r="O143" s="260">
        <f>(O$112*VLOOKUP($C143,Aggregate!$B$14:$AW$65,24,FALSE)+O$113*VLOOKUP($C143,Aggregate!$B$14:$AW$65,48,FALSE))</f>
        <v>3.3671161722158868E-7</v>
      </c>
      <c r="P143" s="260" t="e">
        <f>(P$112*VLOOKUP($C143,Aggregate!$B$14:$AW$65,24,FALSE)+P$113*VLOOKUP($C143,Aggregate!$B$14:$AW$65,48,FALSE))</f>
        <v>#N/A</v>
      </c>
      <c r="Q143" s="216" t="s">
        <v>927</v>
      </c>
    </row>
    <row r="144" spans="1:17" ht="15" customHeight="1" x14ac:dyDescent="0.25">
      <c r="A144">
        <f t="shared" si="19"/>
        <v>141</v>
      </c>
      <c r="B144" t="str">
        <f t="shared" si="17"/>
        <v>solidwaste</v>
      </c>
      <c r="C144" s="218" t="s">
        <v>723</v>
      </c>
      <c r="D144" s="215">
        <f t="shared" si="18"/>
        <v>4.791507654749979E-8</v>
      </c>
      <c r="E144" s="260">
        <f>(E$112*VLOOKUP($C144,Aggregate!$B$14:$AW$65,24,FALSE)+E$113*VLOOKUP($C144,Aggregate!$B$14:$AW$65,48,FALSE))</f>
        <v>4.791507654749979E-8</v>
      </c>
      <c r="F144" s="260">
        <f>(F$112*VLOOKUP($C144,Aggregate!$B$14:$AW$65,24,FALSE)+F$113*VLOOKUP($C144,Aggregate!$B$14:$AW$65,48,FALSE))</f>
        <v>4.9492677840041231E-8</v>
      </c>
      <c r="G144" s="260">
        <f>(G$112*VLOOKUP($C144,Aggregate!$B$14:$AW$65,24,FALSE)+G$113*VLOOKUP($C144,Aggregate!$B$14:$AW$65,48,FALSE))</f>
        <v>5.3336341385146597E-8</v>
      </c>
      <c r="H144" s="260">
        <f>(H$112*VLOOKUP($C144,Aggregate!$B$14:$AW$65,24,FALSE)+H$113*VLOOKUP($C144,Aggregate!$B$14:$AW$65,48,FALSE))</f>
        <v>5.4688773414186172E-8</v>
      </c>
      <c r="I144" s="260">
        <f>(I$112*VLOOKUP($C144,Aggregate!$B$14:$AW$65,24,FALSE)+I$113*VLOOKUP($C144,Aggregate!$B$14:$AW$65,48,FALSE))</f>
        <v>5.6150974081359582E-8</v>
      </c>
      <c r="J144" s="260">
        <f>(J$112*VLOOKUP($C144,Aggregate!$B$14:$AW$65,24,FALSE)+J$113*VLOOKUP($C144,Aggregate!$B$14:$AW$65,48,FALSE))</f>
        <v>5.7603154445532679E-8</v>
      </c>
      <c r="K144" s="260">
        <f>(K$112*VLOOKUP($C144,Aggregate!$B$14:$AW$65,24,FALSE)+K$113*VLOOKUP($C144,Aggregate!$B$14:$AW$65,48,FALSE))</f>
        <v>5.7603154445532679E-8</v>
      </c>
      <c r="L144" s="260">
        <f>(L$112*VLOOKUP($C144,Aggregate!$B$14:$AW$65,24,FALSE)+L$113*VLOOKUP($C144,Aggregate!$B$14:$AW$65,48,FALSE))</f>
        <v>5.7603154445532679E-8</v>
      </c>
      <c r="M144" s="260">
        <f>(M$112*VLOOKUP($C144,Aggregate!$B$14:$AW$65,24,FALSE)+M$113*VLOOKUP($C144,Aggregate!$B$14:$AW$65,48,FALSE))</f>
        <v>5.7603154445532679E-8</v>
      </c>
      <c r="N144" s="260">
        <f>(N$112*VLOOKUP($C144,Aggregate!$B$14:$AW$65,24,FALSE)+N$113*VLOOKUP($C144,Aggregate!$B$14:$AW$65,48,FALSE))</f>
        <v>5.7603154445532679E-8</v>
      </c>
      <c r="O144" s="260">
        <f>(O$112*VLOOKUP($C144,Aggregate!$B$14:$AW$65,24,FALSE)+O$113*VLOOKUP($C144,Aggregate!$B$14:$AW$65,48,FALSE))</f>
        <v>5.7583685899584066E-8</v>
      </c>
      <c r="P144" s="260" t="e">
        <f>(P$112*VLOOKUP($C144,Aggregate!$B$14:$AW$65,24,FALSE)+P$113*VLOOKUP($C144,Aggregate!$B$14:$AW$65,48,FALSE))</f>
        <v>#N/A</v>
      </c>
      <c r="Q144" s="216" t="s">
        <v>928</v>
      </c>
    </row>
    <row r="145" spans="1:17" ht="15" customHeight="1" x14ac:dyDescent="0.25">
      <c r="A145">
        <f t="shared" si="19"/>
        <v>142</v>
      </c>
      <c r="B145" t="str">
        <f t="shared" ref="B145:B153" si="20">RIGHT(C145,LEN(C145)-3)</f>
        <v>gasoline</v>
      </c>
      <c r="C145" s="218" t="s">
        <v>729</v>
      </c>
      <c r="D145" s="215">
        <f t="shared" si="18"/>
        <v>1.3859820749586858E-4</v>
      </c>
      <c r="E145" s="260">
        <f>INDEX(Transport!$A$3:$T$20,MATCH($C145,Transport!$B$3:$B$20,0),MATCH(PS!E$7,Transport!$A$3:$T$3,0))</f>
        <v>1.3859820749586858E-4</v>
      </c>
      <c r="F145" s="260">
        <f>INDEX(Transport!$A$3:$T$20,MATCH($C145,Transport!$B$3:$B$20,0),MATCH(PS!F$7,Transport!$A$3:$T$3,0))</f>
        <v>1.3859820749586858E-4</v>
      </c>
      <c r="G145" s="260">
        <f>INDEX(Transport!$A$3:$T$20,MATCH($C145,Transport!$B$3:$B$20,0),MATCH(PS!G$7,Transport!$A$3:$T$3,0))</f>
        <v>1.3859820749586858E-4</v>
      </c>
      <c r="H145" s="260">
        <f>INDEX(Transport!$A$3:$T$20,MATCH($C145,Transport!$B$3:$B$20,0),MATCH(PS!H$7,Transport!$A$3:$T$3,0))</f>
        <v>1.5946208837334483E-4</v>
      </c>
      <c r="I145" s="260">
        <f>INDEX(Transport!$A$3:$T$20,MATCH($C145,Transport!$B$3:$B$20,0),MATCH(PS!I$7,Transport!$A$3:$T$3,0))</f>
        <v>1.5946208837334483E-4</v>
      </c>
      <c r="J145" s="260">
        <f>INDEX(Transport!$A$3:$T$20,MATCH($C145,Transport!$B$3:$B$20,0),MATCH(PS!J$7,Transport!$A$3:$T$3,0))</f>
        <v>1.5946208837334483E-4</v>
      </c>
      <c r="K145" s="260">
        <f>INDEX(Transport!$A$3:$T$20,MATCH($C145,Transport!$B$3:$B$20,0),MATCH(PS!K$7,Transport!$A$3:$T$3,0))</f>
        <v>1.5946208837334483E-4</v>
      </c>
      <c r="L145" s="260">
        <f>INDEX(Transport!$A$3:$T$20,MATCH($C145,Transport!$B$3:$B$20,0),MATCH(PS!L$7,Transport!$A$3:$T$3,0))</f>
        <v>1.5946208837334483E-4</v>
      </c>
      <c r="M145" s="260">
        <f>INDEX(Transport!$A$3:$T$20,MATCH($C145,Transport!$B$3:$B$20,0),MATCH(PS!M$7,Transport!$A$3:$T$3,0))</f>
        <v>1.5946208837334483E-4</v>
      </c>
      <c r="N145" s="260">
        <f>INDEX(Transport!$A$3:$T$20,MATCH($C145,Transport!$B$3:$B$20,0),MATCH(PS!N$7,Transport!$A$3:$T$3,0))</f>
        <v>1.5946208837334483E-4</v>
      </c>
      <c r="O145" s="260">
        <f>INDEX(Transport!$A$3:$T$20,MATCH($C145,Transport!$B$3:$B$20,0),MATCH(PS!O$7,Transport!$A$3:$T$3,0))</f>
        <v>1.7842563692746776E-4</v>
      </c>
      <c r="P145" s="260" t="e">
        <f>INDEX(Transport!$A$3:$T$20,MATCH($C145,Transport!$B$3:$B$20,0),MATCH(PS!P$7,Transport!$A$3:$T$3,0))</f>
        <v>#N/A</v>
      </c>
      <c r="Q145" s="216" t="s">
        <v>1031</v>
      </c>
    </row>
    <row r="146" spans="1:17" ht="15" customHeight="1" x14ac:dyDescent="0.25">
      <c r="A146">
        <f t="shared" si="19"/>
        <v>143</v>
      </c>
      <c r="B146" t="str">
        <f t="shared" si="20"/>
        <v>distillate</v>
      </c>
      <c r="C146" s="218" t="s">
        <v>730</v>
      </c>
      <c r="D146" s="215">
        <f t="shared" si="18"/>
        <v>6.1530607336695914E-4</v>
      </c>
      <c r="E146" s="260">
        <f>INDEX(Transport!$A$3:$T$20,MATCH($C146,Transport!$B$3:$B$20,0),MATCH(PS!E$7,Transport!$A$3:$T$3,0))</f>
        <v>6.1530607336695914E-4</v>
      </c>
      <c r="F146" s="260">
        <f>INDEX(Transport!$A$3:$T$20,MATCH($C146,Transport!$B$3:$B$20,0),MATCH(PS!F$7,Transport!$A$3:$T$3,0))</f>
        <v>6.1530607336695914E-4</v>
      </c>
      <c r="G146" s="260">
        <f>INDEX(Transport!$A$3:$T$20,MATCH($C146,Transport!$B$3:$B$20,0),MATCH(PS!G$7,Transport!$A$3:$T$3,0))</f>
        <v>6.1530607336695914E-4</v>
      </c>
      <c r="H146" s="260">
        <f>INDEX(Transport!$A$3:$T$20,MATCH($C146,Transport!$B$3:$B$20,0),MATCH(PS!H$7,Transport!$A$3:$T$3,0))</f>
        <v>4.3725604370511637E-4</v>
      </c>
      <c r="I146" s="260">
        <f>INDEX(Transport!$A$3:$T$20,MATCH($C146,Transport!$B$3:$B$20,0),MATCH(PS!I$7,Transport!$A$3:$T$3,0))</f>
        <v>4.3725604370511637E-4</v>
      </c>
      <c r="J146" s="260">
        <f>INDEX(Transport!$A$3:$T$20,MATCH($C146,Transport!$B$3:$B$20,0),MATCH(PS!J$7,Transport!$A$3:$T$3,0))</f>
        <v>4.3725604370511637E-4</v>
      </c>
      <c r="K146" s="260">
        <f>INDEX(Transport!$A$3:$T$20,MATCH($C146,Transport!$B$3:$B$20,0),MATCH(PS!K$7,Transport!$A$3:$T$3,0))</f>
        <v>4.3725604370511637E-4</v>
      </c>
      <c r="L146" s="260">
        <f>INDEX(Transport!$A$3:$T$20,MATCH($C146,Transport!$B$3:$B$20,0),MATCH(PS!L$7,Transport!$A$3:$T$3,0))</f>
        <v>4.3725604370511637E-4</v>
      </c>
      <c r="M146" s="260">
        <f>INDEX(Transport!$A$3:$T$20,MATCH($C146,Transport!$B$3:$B$20,0),MATCH(PS!M$7,Transport!$A$3:$T$3,0))</f>
        <v>4.3725604370511637E-4</v>
      </c>
      <c r="N146" s="260">
        <f>INDEX(Transport!$A$3:$T$20,MATCH($C146,Transport!$B$3:$B$20,0),MATCH(PS!N$7,Transport!$A$3:$T$3,0))</f>
        <v>4.3725604370511637E-4</v>
      </c>
      <c r="O146" s="260">
        <f>INDEX(Transport!$A$3:$T$20,MATCH($C146,Transport!$B$3:$B$20,0),MATCH(PS!O$7,Transport!$A$3:$T$3,0))</f>
        <v>4.0658939388338886E-4</v>
      </c>
      <c r="P146" s="260" t="e">
        <f>INDEX(Transport!$A$3:$T$20,MATCH($C146,Transport!$B$3:$B$20,0),MATCH(PS!P$7,Transport!$A$3:$T$3,0))</f>
        <v>#N/A</v>
      </c>
      <c r="Q146" s="216" t="s">
        <v>1032</v>
      </c>
    </row>
    <row r="147" spans="1:17" ht="15" customHeight="1" x14ac:dyDescent="0.25">
      <c r="A147">
        <f t="shared" si="19"/>
        <v>144</v>
      </c>
      <c r="B147" t="str">
        <f t="shared" si="20"/>
        <v>res_oil</v>
      </c>
      <c r="C147" s="218" t="s">
        <v>731</v>
      </c>
      <c r="D147" s="215">
        <f t="shared" si="18"/>
        <v>2.8933790607155341E-5</v>
      </c>
      <c r="E147" s="260">
        <f>INDEX(Transport!$A$3:$T$20,MATCH($C147,Transport!$B$3:$B$20,0),MATCH(PS!E$7,Transport!$A$3:$T$3,0))</f>
        <v>2.8933790607155341E-5</v>
      </c>
      <c r="F147" s="260">
        <f>INDEX(Transport!$A$3:$T$20,MATCH($C147,Transport!$B$3:$B$20,0),MATCH(PS!F$7,Transport!$A$3:$T$3,0))</f>
        <v>2.8933790607155341E-5</v>
      </c>
      <c r="G147" s="260">
        <f>INDEX(Transport!$A$3:$T$20,MATCH($C147,Transport!$B$3:$B$20,0),MATCH(PS!G$7,Transport!$A$3:$T$3,0))</f>
        <v>2.8933790607155341E-5</v>
      </c>
      <c r="H147" s="260">
        <f>INDEX(Transport!$A$3:$T$20,MATCH($C147,Transport!$B$3:$B$20,0),MATCH(PS!H$7,Transport!$A$3:$T$3,0))</f>
        <v>3.0744290638380864E-5</v>
      </c>
      <c r="I147" s="260">
        <f>INDEX(Transport!$A$3:$T$20,MATCH($C147,Transport!$B$3:$B$20,0),MATCH(PS!I$7,Transport!$A$3:$T$3,0))</f>
        <v>3.0744290638380864E-5</v>
      </c>
      <c r="J147" s="260">
        <f>INDEX(Transport!$A$3:$T$20,MATCH($C147,Transport!$B$3:$B$20,0),MATCH(PS!J$7,Transport!$A$3:$T$3,0))</f>
        <v>3.0744290638380864E-5</v>
      </c>
      <c r="K147" s="260">
        <f>INDEX(Transport!$A$3:$T$20,MATCH($C147,Transport!$B$3:$B$20,0),MATCH(PS!K$7,Transport!$A$3:$T$3,0))</f>
        <v>3.0744290638380864E-5</v>
      </c>
      <c r="L147" s="260">
        <f>INDEX(Transport!$A$3:$T$20,MATCH($C147,Transport!$B$3:$B$20,0),MATCH(PS!L$7,Transport!$A$3:$T$3,0))</f>
        <v>3.0744290638380864E-5</v>
      </c>
      <c r="M147" s="260">
        <f>INDEX(Transport!$A$3:$T$20,MATCH($C147,Transport!$B$3:$B$20,0),MATCH(PS!M$7,Transport!$A$3:$T$3,0))</f>
        <v>3.0744290638380864E-5</v>
      </c>
      <c r="N147" s="260">
        <f>INDEX(Transport!$A$3:$T$20,MATCH($C147,Transport!$B$3:$B$20,0),MATCH(PS!N$7,Transport!$A$3:$T$3,0))</f>
        <v>3.0744290638380864E-5</v>
      </c>
      <c r="O147" s="260">
        <f>INDEX(Transport!$A$3:$T$20,MATCH($C147,Transport!$B$3:$B$20,0),MATCH(PS!O$7,Transport!$A$3:$T$3,0))</f>
        <v>3.3277170780941438E-5</v>
      </c>
      <c r="P147" s="260" t="e">
        <f>INDEX(Transport!$A$3:$T$20,MATCH($C147,Transport!$B$3:$B$20,0),MATCH(PS!P$7,Transport!$A$3:$T$3,0))</f>
        <v>#N/A</v>
      </c>
      <c r="Q147" s="216" t="s">
        <v>1033</v>
      </c>
    </row>
    <row r="148" spans="1:17" ht="15" customHeight="1" x14ac:dyDescent="0.25">
      <c r="A148">
        <f t="shared" si="19"/>
        <v>145</v>
      </c>
      <c r="B148" t="str">
        <f t="shared" si="20"/>
        <v>CO2_to_air</v>
      </c>
      <c r="C148" s="218" t="s">
        <v>732</v>
      </c>
      <c r="D148" s="215">
        <f t="shared" si="18"/>
        <v>2.2132497722614198E-3</v>
      </c>
      <c r="E148" s="260">
        <f>INDEX(Transport!$A$3:$T$20,MATCH($C148,Transport!$B$3:$B$20,0),MATCH(PS!E$7,Transport!$A$3:$T$3,0))</f>
        <v>2.2132497722614198E-3</v>
      </c>
      <c r="F148" s="260">
        <f>INDEX(Transport!$A$3:$T$20,MATCH($C148,Transport!$B$3:$B$20,0),MATCH(PS!F$7,Transport!$A$3:$T$3,0))</f>
        <v>2.2132497722614198E-3</v>
      </c>
      <c r="G148" s="260">
        <f>INDEX(Transport!$A$3:$T$20,MATCH($C148,Transport!$B$3:$B$20,0),MATCH(PS!G$7,Transport!$A$3:$T$3,0))</f>
        <v>2.2132497722614198E-3</v>
      </c>
      <c r="H148" s="260">
        <f>INDEX(Transport!$A$3:$T$20,MATCH($C148,Transport!$B$3:$B$20,0),MATCH(PS!H$7,Transport!$A$3:$T$3,0))</f>
        <v>1.7437454298260371E-3</v>
      </c>
      <c r="I148" s="260">
        <f>INDEX(Transport!$A$3:$T$20,MATCH($C148,Transport!$B$3:$B$20,0),MATCH(PS!I$7,Transport!$A$3:$T$3,0))</f>
        <v>1.7437454298260371E-3</v>
      </c>
      <c r="J148" s="260">
        <f>INDEX(Transport!$A$3:$T$20,MATCH($C148,Transport!$B$3:$B$20,0),MATCH(PS!J$7,Transport!$A$3:$T$3,0))</f>
        <v>1.7437454298260371E-3</v>
      </c>
      <c r="K148" s="260">
        <f>INDEX(Transport!$A$3:$T$20,MATCH($C148,Transport!$B$3:$B$20,0),MATCH(PS!K$7,Transport!$A$3:$T$3,0))</f>
        <v>1.7437454298260371E-3</v>
      </c>
      <c r="L148" s="260">
        <f>INDEX(Transport!$A$3:$T$20,MATCH($C148,Transport!$B$3:$B$20,0),MATCH(PS!L$7,Transport!$A$3:$T$3,0))</f>
        <v>1.7437454298260371E-3</v>
      </c>
      <c r="M148" s="260">
        <f>INDEX(Transport!$A$3:$T$20,MATCH($C148,Transport!$B$3:$B$20,0),MATCH(PS!M$7,Transport!$A$3:$T$3,0))</f>
        <v>1.7437454298260371E-3</v>
      </c>
      <c r="N148" s="260">
        <f>INDEX(Transport!$A$3:$T$20,MATCH($C148,Transport!$B$3:$B$20,0),MATCH(PS!N$7,Transport!$A$3:$T$3,0))</f>
        <v>1.7437454298260371E-3</v>
      </c>
      <c r="O148" s="260">
        <f>INDEX(Transport!$A$3:$T$20,MATCH($C148,Transport!$B$3:$B$20,0),MATCH(PS!O$7,Transport!$A$3:$T$3,0))</f>
        <v>1.7013595025605879E-3</v>
      </c>
      <c r="P148" s="260" t="e">
        <f>INDEX(Transport!$A$3:$T$20,MATCH($C148,Transport!$B$3:$B$20,0),MATCH(PS!P$7,Transport!$A$3:$T$3,0))</f>
        <v>#N/A</v>
      </c>
      <c r="Q148" s="216" t="s">
        <v>929</v>
      </c>
    </row>
    <row r="149" spans="1:17" ht="15" customHeight="1" x14ac:dyDescent="0.25">
      <c r="A149">
        <f t="shared" si="19"/>
        <v>146</v>
      </c>
      <c r="B149" t="str">
        <f t="shared" si="20"/>
        <v>CO_to_air</v>
      </c>
      <c r="C149" s="218" t="s">
        <v>733</v>
      </c>
      <c r="D149" s="215">
        <f t="shared" si="18"/>
        <v>8.8385939301374245E-6</v>
      </c>
      <c r="E149" s="260">
        <f>INDEX(Transport!$A$3:$T$20,MATCH($C149,Transport!$B$3:$B$20,0),MATCH(PS!E$7,Transport!$A$3:$T$3,0))</f>
        <v>8.8385939301374245E-6</v>
      </c>
      <c r="F149" s="260">
        <f>INDEX(Transport!$A$3:$T$20,MATCH($C149,Transport!$B$3:$B$20,0),MATCH(PS!F$7,Transport!$A$3:$T$3,0))</f>
        <v>8.8385939301374245E-6</v>
      </c>
      <c r="G149" s="260">
        <f>INDEX(Transport!$A$3:$T$20,MATCH($C149,Transport!$B$3:$B$20,0),MATCH(PS!G$7,Transport!$A$3:$T$3,0))</f>
        <v>8.8385939301374245E-6</v>
      </c>
      <c r="H149" s="260">
        <f>INDEX(Transport!$A$3:$T$20,MATCH($C149,Transport!$B$3:$B$20,0),MATCH(PS!H$7,Transport!$A$3:$T$3,0))</f>
        <v>8.8858874072870735E-6</v>
      </c>
      <c r="I149" s="260">
        <f>INDEX(Transport!$A$3:$T$20,MATCH($C149,Transport!$B$3:$B$20,0),MATCH(PS!I$7,Transport!$A$3:$T$3,0))</f>
        <v>8.8858874072870735E-6</v>
      </c>
      <c r="J149" s="260">
        <f>INDEX(Transport!$A$3:$T$20,MATCH($C149,Transport!$B$3:$B$20,0),MATCH(PS!J$7,Transport!$A$3:$T$3,0))</f>
        <v>8.8858874072870735E-6</v>
      </c>
      <c r="K149" s="260">
        <f>INDEX(Transport!$A$3:$T$20,MATCH($C149,Transport!$B$3:$B$20,0),MATCH(PS!K$7,Transport!$A$3:$T$3,0))</f>
        <v>8.8858874072870735E-6</v>
      </c>
      <c r="L149" s="260">
        <f>INDEX(Transport!$A$3:$T$20,MATCH($C149,Transport!$B$3:$B$20,0),MATCH(PS!L$7,Transport!$A$3:$T$3,0))</f>
        <v>8.8858874072870735E-6</v>
      </c>
      <c r="M149" s="260">
        <f>INDEX(Transport!$A$3:$T$20,MATCH($C149,Transport!$B$3:$B$20,0),MATCH(PS!M$7,Transport!$A$3:$T$3,0))</f>
        <v>8.8858874072870735E-6</v>
      </c>
      <c r="N149" s="260">
        <f>INDEX(Transport!$A$3:$T$20,MATCH($C149,Transport!$B$3:$B$20,0),MATCH(PS!N$7,Transport!$A$3:$T$3,0))</f>
        <v>8.8858874072870735E-6</v>
      </c>
      <c r="O149" s="260">
        <f>INDEX(Transport!$A$3:$T$20,MATCH($C149,Transport!$B$3:$B$20,0),MATCH(PS!O$7,Transport!$A$3:$T$3,0))</f>
        <v>9.4739276244673118E-6</v>
      </c>
      <c r="P149" s="260" t="e">
        <f>INDEX(Transport!$A$3:$T$20,MATCH($C149,Transport!$B$3:$B$20,0),MATCH(PS!P$7,Transport!$A$3:$T$3,0))</f>
        <v>#N/A</v>
      </c>
      <c r="Q149" s="216" t="s">
        <v>930</v>
      </c>
    </row>
    <row r="150" spans="1:17" ht="15" customHeight="1" x14ac:dyDescent="0.25">
      <c r="A150">
        <f t="shared" si="19"/>
        <v>147</v>
      </c>
      <c r="B150" t="str">
        <f t="shared" si="20"/>
        <v>CH4_to_air</v>
      </c>
      <c r="C150" s="218" t="s">
        <v>734</v>
      </c>
      <c r="D150" s="215">
        <f t="shared" si="18"/>
        <v>1.094792077027499E-7</v>
      </c>
      <c r="E150" s="260">
        <f>INDEX(Transport!$A$3:$T$20,MATCH($C150,Transport!$B$3:$B$20,0),MATCH(PS!E$7,Transport!$A$3:$T$3,0))</f>
        <v>1.094792077027499E-7</v>
      </c>
      <c r="F150" s="260">
        <f>INDEX(Transport!$A$3:$T$20,MATCH($C150,Transport!$B$3:$B$20,0),MATCH(PS!F$7,Transport!$A$3:$T$3,0))</f>
        <v>1.094792077027499E-7</v>
      </c>
      <c r="G150" s="260">
        <f>INDEX(Transport!$A$3:$T$20,MATCH($C150,Transport!$B$3:$B$20,0),MATCH(PS!G$7,Transport!$A$3:$T$3,0))</f>
        <v>1.094792077027499E-7</v>
      </c>
      <c r="H150" s="260">
        <f>INDEX(Transport!$A$3:$T$20,MATCH($C150,Transport!$B$3:$B$20,0),MATCH(PS!H$7,Transport!$A$3:$T$3,0))</f>
        <v>1.1243726838131566E-7</v>
      </c>
      <c r="I150" s="260">
        <f>INDEX(Transport!$A$3:$T$20,MATCH($C150,Transport!$B$3:$B$20,0),MATCH(PS!I$7,Transport!$A$3:$T$3,0))</f>
        <v>1.1243726838131566E-7</v>
      </c>
      <c r="J150" s="260">
        <f>INDEX(Transport!$A$3:$T$20,MATCH($C150,Transport!$B$3:$B$20,0),MATCH(PS!J$7,Transport!$A$3:$T$3,0))</f>
        <v>1.1243726838131566E-7</v>
      </c>
      <c r="K150" s="260">
        <f>INDEX(Transport!$A$3:$T$20,MATCH($C150,Transport!$B$3:$B$20,0),MATCH(PS!K$7,Transport!$A$3:$T$3,0))</f>
        <v>1.1243726838131566E-7</v>
      </c>
      <c r="L150" s="260">
        <f>INDEX(Transport!$A$3:$T$20,MATCH($C150,Transport!$B$3:$B$20,0),MATCH(PS!L$7,Transport!$A$3:$T$3,0))</f>
        <v>1.1243726838131566E-7</v>
      </c>
      <c r="M150" s="260">
        <f>INDEX(Transport!$A$3:$T$20,MATCH($C150,Transport!$B$3:$B$20,0),MATCH(PS!M$7,Transport!$A$3:$T$3,0))</f>
        <v>1.1243726838131566E-7</v>
      </c>
      <c r="N150" s="260">
        <f>INDEX(Transport!$A$3:$T$20,MATCH($C150,Transport!$B$3:$B$20,0),MATCH(PS!N$7,Transport!$A$3:$T$3,0))</f>
        <v>1.1243726838131566E-7</v>
      </c>
      <c r="O150" s="260">
        <f>INDEX(Transport!$A$3:$T$20,MATCH($C150,Transport!$B$3:$B$20,0),MATCH(PS!O$7,Transport!$A$3:$T$3,0))</f>
        <v>1.2000308324325262E-7</v>
      </c>
      <c r="P150" s="260" t="e">
        <f>INDEX(Transport!$A$3:$T$20,MATCH($C150,Transport!$B$3:$B$20,0),MATCH(PS!P$7,Transport!$A$3:$T$3,0))</f>
        <v>#N/A</v>
      </c>
      <c r="Q150" s="216" t="s">
        <v>931</v>
      </c>
    </row>
    <row r="151" spans="1:17" ht="15" customHeight="1" x14ac:dyDescent="0.25">
      <c r="A151">
        <f t="shared" si="19"/>
        <v>148</v>
      </c>
      <c r="B151" t="str">
        <f t="shared" si="20"/>
        <v>NOx_to_air</v>
      </c>
      <c r="C151" s="218" t="s">
        <v>735</v>
      </c>
      <c r="D151" s="215">
        <f t="shared" si="18"/>
        <v>2.0311274060641767E-5</v>
      </c>
      <c r="E151" s="260">
        <f>INDEX(Transport!$A$3:$T$20,MATCH($C151,Transport!$B$3:$B$20,0),MATCH(PS!E$7,Transport!$A$3:$T$3,0))</f>
        <v>2.0311274060641767E-5</v>
      </c>
      <c r="F151" s="260">
        <f>INDEX(Transport!$A$3:$T$20,MATCH($C151,Transport!$B$3:$B$20,0),MATCH(PS!F$7,Transport!$A$3:$T$3,0))</f>
        <v>2.0311274060641767E-5</v>
      </c>
      <c r="G151" s="260">
        <f>INDEX(Transport!$A$3:$T$20,MATCH($C151,Transport!$B$3:$B$20,0),MATCH(PS!G$7,Transport!$A$3:$T$3,0))</f>
        <v>2.0311274060641767E-5</v>
      </c>
      <c r="H151" s="260">
        <f>INDEX(Transport!$A$3:$T$20,MATCH($C151,Transport!$B$3:$B$20,0),MATCH(PS!H$7,Transport!$A$3:$T$3,0))</f>
        <v>1.7648604098037494E-5</v>
      </c>
      <c r="I151" s="260">
        <f>INDEX(Transport!$A$3:$T$20,MATCH($C151,Transport!$B$3:$B$20,0),MATCH(PS!I$7,Transport!$A$3:$T$3,0))</f>
        <v>1.7648604098037494E-5</v>
      </c>
      <c r="J151" s="260">
        <f>INDEX(Transport!$A$3:$T$20,MATCH($C151,Transport!$B$3:$B$20,0),MATCH(PS!J$7,Transport!$A$3:$T$3,0))</f>
        <v>1.7648604098037494E-5</v>
      </c>
      <c r="K151" s="260">
        <f>INDEX(Transport!$A$3:$T$20,MATCH($C151,Transport!$B$3:$B$20,0),MATCH(PS!K$7,Transport!$A$3:$T$3,0))</f>
        <v>1.7648604098037494E-5</v>
      </c>
      <c r="L151" s="260">
        <f>INDEX(Transport!$A$3:$T$20,MATCH($C151,Transport!$B$3:$B$20,0),MATCH(PS!L$7,Transport!$A$3:$T$3,0))</f>
        <v>1.7648604098037494E-5</v>
      </c>
      <c r="M151" s="260">
        <f>INDEX(Transport!$A$3:$T$20,MATCH($C151,Transport!$B$3:$B$20,0),MATCH(PS!M$7,Transport!$A$3:$T$3,0))</f>
        <v>1.7648604098037494E-5</v>
      </c>
      <c r="N151" s="260">
        <f>INDEX(Transport!$A$3:$T$20,MATCH($C151,Transport!$B$3:$B$20,0),MATCH(PS!N$7,Transport!$A$3:$T$3,0))</f>
        <v>1.7648604098037494E-5</v>
      </c>
      <c r="O151" s="260">
        <f>INDEX(Transport!$A$3:$T$20,MATCH($C151,Transport!$B$3:$B$20,0),MATCH(PS!O$7,Transport!$A$3:$T$3,0))</f>
        <v>1.7132019120911724E-5</v>
      </c>
      <c r="P151" s="260" t="e">
        <f>INDEX(Transport!$A$3:$T$20,MATCH($C151,Transport!$B$3:$B$20,0),MATCH(PS!P$7,Transport!$A$3:$T$3,0))</f>
        <v>#N/A</v>
      </c>
      <c r="Q151" s="216" t="s">
        <v>932</v>
      </c>
    </row>
    <row r="152" spans="1:17" ht="15" customHeight="1" x14ac:dyDescent="0.25">
      <c r="A152">
        <f t="shared" si="19"/>
        <v>149</v>
      </c>
      <c r="B152" t="str">
        <f t="shared" si="20"/>
        <v>SOx_to_air</v>
      </c>
      <c r="C152" s="218" t="s">
        <v>736</v>
      </c>
      <c r="D152" s="215">
        <f t="shared" si="18"/>
        <v>7.6861812174768988E-7</v>
      </c>
      <c r="E152" s="260">
        <f>INDEX(Transport!$A$3:$T$20,MATCH($C152,Transport!$B$3:$B$20,0),MATCH(PS!E$7,Transport!$A$3:$T$3,0))</f>
        <v>7.6861812174768988E-7</v>
      </c>
      <c r="F152" s="260">
        <f>INDEX(Transport!$A$3:$T$20,MATCH($C152,Transport!$B$3:$B$20,0),MATCH(PS!F$7,Transport!$A$3:$T$3,0))</f>
        <v>7.6861812174768988E-7</v>
      </c>
      <c r="G152" s="260">
        <f>INDEX(Transport!$A$3:$T$20,MATCH($C152,Transport!$B$3:$B$20,0),MATCH(PS!G$7,Transport!$A$3:$T$3,0))</f>
        <v>7.6861812174768988E-7</v>
      </c>
      <c r="H152" s="260">
        <f>INDEX(Transport!$A$3:$T$20,MATCH($C152,Transport!$B$3:$B$20,0),MATCH(PS!H$7,Transport!$A$3:$T$3,0))</f>
        <v>6.8403737219462358E-7</v>
      </c>
      <c r="I152" s="260">
        <f>INDEX(Transport!$A$3:$T$20,MATCH($C152,Transport!$B$3:$B$20,0),MATCH(PS!I$7,Transport!$A$3:$T$3,0))</f>
        <v>6.8403737219462358E-7</v>
      </c>
      <c r="J152" s="260">
        <f>INDEX(Transport!$A$3:$T$20,MATCH($C152,Transport!$B$3:$B$20,0),MATCH(PS!J$7,Transport!$A$3:$T$3,0))</f>
        <v>6.8403737219462358E-7</v>
      </c>
      <c r="K152" s="260">
        <f>INDEX(Transport!$A$3:$T$20,MATCH($C152,Transport!$B$3:$B$20,0),MATCH(PS!K$7,Transport!$A$3:$T$3,0))</f>
        <v>6.8403737219462358E-7</v>
      </c>
      <c r="L152" s="260">
        <f>INDEX(Transport!$A$3:$T$20,MATCH($C152,Transport!$B$3:$B$20,0),MATCH(PS!L$7,Transport!$A$3:$T$3,0))</f>
        <v>6.8403737219462358E-7</v>
      </c>
      <c r="M152" s="260">
        <f>INDEX(Transport!$A$3:$T$20,MATCH($C152,Transport!$B$3:$B$20,0),MATCH(PS!M$7,Transport!$A$3:$T$3,0))</f>
        <v>6.8403737219462358E-7</v>
      </c>
      <c r="N152" s="260">
        <f>INDEX(Transport!$A$3:$T$20,MATCH($C152,Transport!$B$3:$B$20,0),MATCH(PS!N$7,Transport!$A$3:$T$3,0))</f>
        <v>6.8403737219462358E-7</v>
      </c>
      <c r="O152" s="260">
        <f>INDEX(Transport!$A$3:$T$20,MATCH($C152,Transport!$B$3:$B$20,0),MATCH(PS!O$7,Transport!$A$3:$T$3,0))</f>
        <v>6.9870216230446428E-7</v>
      </c>
      <c r="P152" s="260" t="e">
        <f>INDEX(Transport!$A$3:$T$20,MATCH($C152,Transport!$B$3:$B$20,0),MATCH(PS!P$7,Transport!$A$3:$T$3,0))</f>
        <v>#N/A</v>
      </c>
      <c r="Q152" s="216" t="s">
        <v>933</v>
      </c>
    </row>
    <row r="153" spans="1:17" ht="15" customHeight="1" x14ac:dyDescent="0.25">
      <c r="A153">
        <f t="shared" si="19"/>
        <v>150</v>
      </c>
      <c r="B153" t="str">
        <f t="shared" si="20"/>
        <v>NMVOC_air</v>
      </c>
      <c r="C153" s="218" t="s">
        <v>737</v>
      </c>
      <c r="D153" s="215">
        <f t="shared" ref="D153:D184" si="21">HLOOKUP($D$4,$E$4:$P$221,A153,FALSE)</f>
        <v>1.2707408036926333E-6</v>
      </c>
      <c r="E153" s="260">
        <f>INDEX(Transport!$A$3:$T$20,MATCH($C153,Transport!$B$3:$B$20,0),MATCH(PS!E$7,Transport!$A$3:$T$3,0))</f>
        <v>1.2707408036926333E-6</v>
      </c>
      <c r="F153" s="260">
        <f>INDEX(Transport!$A$3:$T$20,MATCH($C153,Transport!$B$3:$B$20,0),MATCH(PS!F$7,Transport!$A$3:$T$3,0))</f>
        <v>1.2707408036926333E-6</v>
      </c>
      <c r="G153" s="260">
        <f>INDEX(Transport!$A$3:$T$20,MATCH($C153,Transport!$B$3:$B$20,0),MATCH(PS!G$7,Transport!$A$3:$T$3,0))</f>
        <v>1.2707408036926333E-6</v>
      </c>
      <c r="H153" s="260">
        <f>INDEX(Transport!$A$3:$T$20,MATCH($C153,Transport!$B$3:$B$20,0),MATCH(PS!H$7,Transport!$A$3:$T$3,0))</f>
        <v>1.1863979374976854E-6</v>
      </c>
      <c r="I153" s="260">
        <f>INDEX(Transport!$A$3:$T$20,MATCH($C153,Transport!$B$3:$B$20,0),MATCH(PS!I$7,Transport!$A$3:$T$3,0))</f>
        <v>1.1863979374976854E-6</v>
      </c>
      <c r="J153" s="260">
        <f>INDEX(Transport!$A$3:$T$20,MATCH($C153,Transport!$B$3:$B$20,0),MATCH(PS!J$7,Transport!$A$3:$T$3,0))</f>
        <v>1.1863979374976854E-6</v>
      </c>
      <c r="K153" s="260">
        <f>INDEX(Transport!$A$3:$T$20,MATCH($C153,Transport!$B$3:$B$20,0),MATCH(PS!K$7,Transport!$A$3:$T$3,0))</f>
        <v>1.1863979374976854E-6</v>
      </c>
      <c r="L153" s="260">
        <f>INDEX(Transport!$A$3:$T$20,MATCH($C153,Transport!$B$3:$B$20,0),MATCH(PS!L$7,Transport!$A$3:$T$3,0))</f>
        <v>1.1863979374976854E-6</v>
      </c>
      <c r="M153" s="260">
        <f>INDEX(Transport!$A$3:$T$20,MATCH($C153,Transport!$B$3:$B$20,0),MATCH(PS!M$7,Transport!$A$3:$T$3,0))</f>
        <v>1.1863979374976854E-6</v>
      </c>
      <c r="N153" s="260">
        <f>INDEX(Transport!$A$3:$T$20,MATCH($C153,Transport!$B$3:$B$20,0),MATCH(PS!N$7,Transport!$A$3:$T$3,0))</f>
        <v>1.1863979374976854E-6</v>
      </c>
      <c r="O153" s="260">
        <f>INDEX(Transport!$A$3:$T$20,MATCH($C153,Transport!$B$3:$B$20,0),MATCH(PS!O$7,Transport!$A$3:$T$3,0))</f>
        <v>1.2158207118066385E-6</v>
      </c>
      <c r="P153" s="260" t="e">
        <f>INDEX(Transport!$A$3:$T$20,MATCH($C153,Transport!$B$3:$B$20,0),MATCH(PS!P$7,Transport!$A$3:$T$3,0))</f>
        <v>#N/A</v>
      </c>
      <c r="Q153" s="216" t="s">
        <v>934</v>
      </c>
    </row>
    <row r="154" spans="1:17" ht="15" customHeight="1" x14ac:dyDescent="0.25">
      <c r="A154">
        <f t="shared" si="19"/>
        <v>151</v>
      </c>
      <c r="C154" s="218" t="s">
        <v>240</v>
      </c>
      <c r="D154" s="215">
        <f t="shared" si="21"/>
        <v>0.21263726320610571</v>
      </c>
      <c r="E154" s="260">
        <f>SUMIF($B$17:$B$153,$C154,E$17:E$153)</f>
        <v>0.21263726320610571</v>
      </c>
      <c r="F154" s="260">
        <f t="shared" ref="F154:P169" si="22">SUMIF($B$17:$B$153,$C154,F$17:F$153)</f>
        <v>0.18270797569397187</v>
      </c>
      <c r="G154" s="260">
        <f t="shared" si="22"/>
        <v>0.16413413774076566</v>
      </c>
      <c r="H154" s="260">
        <f t="shared" si="22"/>
        <v>0.13115049017738745</v>
      </c>
      <c r="I154" s="260">
        <f t="shared" si="22"/>
        <v>0.10935072485694902</v>
      </c>
      <c r="J154" s="260">
        <f t="shared" si="22"/>
        <v>9.0279978315223608E-2</v>
      </c>
      <c r="K154" s="260">
        <f t="shared" si="22"/>
        <v>7.3124536903098725E-2</v>
      </c>
      <c r="L154" s="260">
        <f t="shared" si="22"/>
        <v>6.8445780154337402E-2</v>
      </c>
      <c r="M154" s="260">
        <f t="shared" si="22"/>
        <v>5.9868059448274946E-2</v>
      </c>
      <c r="N154" s="260">
        <f t="shared" si="22"/>
        <v>4.7001478389181284E-2</v>
      </c>
      <c r="O154" s="260">
        <f t="shared" si="22"/>
        <v>8.5798683049013044E-2</v>
      </c>
      <c r="P154" s="260" t="e">
        <f t="shared" si="22"/>
        <v>#DIV/0!</v>
      </c>
      <c r="Q154" s="216" t="s">
        <v>935</v>
      </c>
    </row>
    <row r="155" spans="1:17" ht="15" customHeight="1" x14ac:dyDescent="0.25">
      <c r="A155">
        <f t="shared" si="19"/>
        <v>152</v>
      </c>
      <c r="C155" s="218" t="s">
        <v>748</v>
      </c>
      <c r="D155" s="215">
        <f t="shared" si="21"/>
        <v>0</v>
      </c>
      <c r="E155" s="260">
        <f t="shared" ref="E155:P186" si="23">SUMIF($B$17:$B$153,$C155,E$17:E$153)</f>
        <v>0</v>
      </c>
      <c r="F155" s="260">
        <f t="shared" si="22"/>
        <v>0</v>
      </c>
      <c r="G155" s="260">
        <f t="shared" si="22"/>
        <v>0</v>
      </c>
      <c r="H155" s="260">
        <f t="shared" si="22"/>
        <v>0</v>
      </c>
      <c r="I155" s="260">
        <f t="shared" si="22"/>
        <v>0</v>
      </c>
      <c r="J155" s="260">
        <f t="shared" si="22"/>
        <v>0</v>
      </c>
      <c r="K155" s="260">
        <f t="shared" si="22"/>
        <v>0</v>
      </c>
      <c r="L155" s="260">
        <f t="shared" si="22"/>
        <v>0</v>
      </c>
      <c r="M155" s="260">
        <f t="shared" si="22"/>
        <v>0</v>
      </c>
      <c r="N155" s="260">
        <f t="shared" si="22"/>
        <v>0</v>
      </c>
      <c r="O155" s="260">
        <f t="shared" si="22"/>
        <v>0</v>
      </c>
      <c r="P155" s="260" t="e">
        <f t="shared" si="22"/>
        <v>#DIV/0!</v>
      </c>
      <c r="Q155" s="216" t="s">
        <v>936</v>
      </c>
    </row>
    <row r="156" spans="1:17" ht="15" customHeight="1" x14ac:dyDescent="0.25">
      <c r="A156">
        <f t="shared" si="19"/>
        <v>153</v>
      </c>
      <c r="C156" s="218" t="s">
        <v>749</v>
      </c>
      <c r="D156" s="215">
        <f t="shared" si="21"/>
        <v>0</v>
      </c>
      <c r="E156" s="260">
        <f t="shared" si="23"/>
        <v>0</v>
      </c>
      <c r="F156" s="260">
        <f t="shared" si="22"/>
        <v>0</v>
      </c>
      <c r="G156" s="260">
        <f t="shared" si="22"/>
        <v>0</v>
      </c>
      <c r="H156" s="260">
        <f t="shared" si="22"/>
        <v>0</v>
      </c>
      <c r="I156" s="260">
        <f t="shared" si="22"/>
        <v>0</v>
      </c>
      <c r="J156" s="260">
        <f t="shared" si="22"/>
        <v>0</v>
      </c>
      <c r="K156" s="260">
        <f t="shared" si="22"/>
        <v>0</v>
      </c>
      <c r="L156" s="260">
        <f t="shared" si="22"/>
        <v>0</v>
      </c>
      <c r="M156" s="260">
        <f t="shared" si="22"/>
        <v>0</v>
      </c>
      <c r="N156" s="260">
        <f t="shared" si="22"/>
        <v>0</v>
      </c>
      <c r="O156" s="260">
        <f t="shared" si="22"/>
        <v>0</v>
      </c>
      <c r="P156" s="260" t="e">
        <f t="shared" si="22"/>
        <v>#DIV/0!</v>
      </c>
      <c r="Q156" s="216" t="s">
        <v>937</v>
      </c>
    </row>
    <row r="157" spans="1:17" ht="15" customHeight="1" x14ac:dyDescent="0.25">
      <c r="A157">
        <f t="shared" si="19"/>
        <v>154</v>
      </c>
      <c r="C157" s="218" t="s">
        <v>750</v>
      </c>
      <c r="D157" s="215">
        <f t="shared" si="21"/>
        <v>0</v>
      </c>
      <c r="E157" s="260">
        <f t="shared" si="23"/>
        <v>0</v>
      </c>
      <c r="F157" s="260">
        <f t="shared" si="22"/>
        <v>0</v>
      </c>
      <c r="G157" s="260">
        <f t="shared" si="22"/>
        <v>0</v>
      </c>
      <c r="H157" s="260">
        <f t="shared" si="22"/>
        <v>0</v>
      </c>
      <c r="I157" s="260">
        <f t="shared" si="22"/>
        <v>0</v>
      </c>
      <c r="J157" s="260">
        <f t="shared" si="22"/>
        <v>0</v>
      </c>
      <c r="K157" s="260">
        <f t="shared" si="22"/>
        <v>0</v>
      </c>
      <c r="L157" s="260">
        <f t="shared" si="22"/>
        <v>0</v>
      </c>
      <c r="M157" s="260">
        <f t="shared" si="22"/>
        <v>0</v>
      </c>
      <c r="N157" s="260">
        <f t="shared" si="22"/>
        <v>0</v>
      </c>
      <c r="O157" s="260">
        <f t="shared" si="22"/>
        <v>0</v>
      </c>
      <c r="P157" s="260" t="e">
        <f t="shared" si="22"/>
        <v>#DIV/0!</v>
      </c>
      <c r="Q157" s="216" t="s">
        <v>938</v>
      </c>
    </row>
    <row r="158" spans="1:17" ht="15" customHeight="1" x14ac:dyDescent="0.25">
      <c r="A158">
        <f t="shared" si="19"/>
        <v>155</v>
      </c>
      <c r="C158" s="218" t="s">
        <v>751</v>
      </c>
      <c r="D158" s="215">
        <f t="shared" si="21"/>
        <v>0</v>
      </c>
      <c r="E158" s="260">
        <f t="shared" si="23"/>
        <v>0</v>
      </c>
      <c r="F158" s="260">
        <f t="shared" si="22"/>
        <v>0</v>
      </c>
      <c r="G158" s="260">
        <f t="shared" si="22"/>
        <v>0</v>
      </c>
      <c r="H158" s="260">
        <f t="shared" si="22"/>
        <v>0</v>
      </c>
      <c r="I158" s="260">
        <f t="shared" si="22"/>
        <v>0</v>
      </c>
      <c r="J158" s="260">
        <f t="shared" si="22"/>
        <v>0</v>
      </c>
      <c r="K158" s="260">
        <f t="shared" si="22"/>
        <v>0</v>
      </c>
      <c r="L158" s="260">
        <f t="shared" si="22"/>
        <v>0</v>
      </c>
      <c r="M158" s="260">
        <f t="shared" si="22"/>
        <v>0</v>
      </c>
      <c r="N158" s="260">
        <f t="shared" si="22"/>
        <v>0</v>
      </c>
      <c r="O158" s="260">
        <f t="shared" si="22"/>
        <v>0</v>
      </c>
      <c r="P158" s="260" t="e">
        <f t="shared" si="22"/>
        <v>#DIV/0!</v>
      </c>
      <c r="Q158" s="216" t="s">
        <v>939</v>
      </c>
    </row>
    <row r="159" spans="1:17" ht="15" customHeight="1" x14ac:dyDescent="0.25">
      <c r="A159">
        <f t="shared" si="19"/>
        <v>156</v>
      </c>
      <c r="C159" s="218" t="s">
        <v>752</v>
      </c>
      <c r="D159" s="215">
        <f t="shared" si="21"/>
        <v>0</v>
      </c>
      <c r="E159" s="260">
        <f t="shared" si="23"/>
        <v>0</v>
      </c>
      <c r="F159" s="260">
        <f t="shared" si="22"/>
        <v>0</v>
      </c>
      <c r="G159" s="260">
        <f t="shared" si="22"/>
        <v>0</v>
      </c>
      <c r="H159" s="260">
        <f t="shared" si="22"/>
        <v>0</v>
      </c>
      <c r="I159" s="260">
        <f t="shared" si="22"/>
        <v>0</v>
      </c>
      <c r="J159" s="260">
        <f t="shared" si="22"/>
        <v>0</v>
      </c>
      <c r="K159" s="260">
        <f t="shared" si="22"/>
        <v>0</v>
      </c>
      <c r="L159" s="260">
        <f t="shared" si="22"/>
        <v>0</v>
      </c>
      <c r="M159" s="260">
        <f t="shared" si="22"/>
        <v>0</v>
      </c>
      <c r="N159" s="260">
        <f t="shared" si="22"/>
        <v>0</v>
      </c>
      <c r="O159" s="260">
        <f t="shared" si="22"/>
        <v>0</v>
      </c>
      <c r="P159" s="260" t="e">
        <f t="shared" si="22"/>
        <v>#DIV/0!</v>
      </c>
      <c r="Q159" s="216" t="s">
        <v>940</v>
      </c>
    </row>
    <row r="160" spans="1:17" ht="15" customHeight="1" x14ac:dyDescent="0.25">
      <c r="A160">
        <f t="shared" si="19"/>
        <v>157</v>
      </c>
      <c r="C160" s="218" t="s">
        <v>753</v>
      </c>
      <c r="D160" s="215">
        <f t="shared" si="21"/>
        <v>0.29980520433531621</v>
      </c>
      <c r="E160" s="260">
        <f t="shared" si="23"/>
        <v>0.29980520433531621</v>
      </c>
      <c r="F160" s="260">
        <f t="shared" si="22"/>
        <v>0.25469895748124582</v>
      </c>
      <c r="G160" s="260">
        <f t="shared" si="22"/>
        <v>0.22664358607019655</v>
      </c>
      <c r="H160" s="260">
        <f t="shared" si="22"/>
        <v>0.19254869274147565</v>
      </c>
      <c r="I160" s="260">
        <f t="shared" si="22"/>
        <v>0.1596876609826238</v>
      </c>
      <c r="J160" s="260">
        <f t="shared" si="22"/>
        <v>0.13093657951723789</v>
      </c>
      <c r="K160" s="260">
        <f t="shared" si="22"/>
        <v>0.10510155934343311</v>
      </c>
      <c r="L160" s="260">
        <f t="shared" si="22"/>
        <v>9.8055644750577264E-2</v>
      </c>
      <c r="M160" s="260">
        <f t="shared" si="22"/>
        <v>8.5138134663674869E-2</v>
      </c>
      <c r="N160" s="260">
        <f t="shared" si="22"/>
        <v>6.5761869533321277E-2</v>
      </c>
      <c r="O160" s="260">
        <f t="shared" si="22"/>
        <v>0.11887563917913768</v>
      </c>
      <c r="P160" s="260" t="e">
        <f t="shared" si="22"/>
        <v>#DIV/0!</v>
      </c>
      <c r="Q160" s="216" t="s">
        <v>1061</v>
      </c>
    </row>
    <row r="161" spans="1:17" ht="15" customHeight="1" x14ac:dyDescent="0.25">
      <c r="A161">
        <f t="shared" si="19"/>
        <v>158</v>
      </c>
      <c r="C161" s="218" t="s">
        <v>754</v>
      </c>
      <c r="D161" s="215">
        <f t="shared" si="21"/>
        <v>1.105799140960124E-2</v>
      </c>
      <c r="E161" s="260">
        <f t="shared" si="23"/>
        <v>1.105799140960124E-2</v>
      </c>
      <c r="F161" s="260">
        <f t="shared" si="22"/>
        <v>9.3942961734311582E-3</v>
      </c>
      <c r="G161" s="260">
        <f t="shared" si="22"/>
        <v>8.3595040765282215E-3</v>
      </c>
      <c r="H161" s="260">
        <f t="shared" si="22"/>
        <v>7.1019507315949956E-3</v>
      </c>
      <c r="I161" s="260">
        <f t="shared" si="22"/>
        <v>5.8899070390725687E-3</v>
      </c>
      <c r="J161" s="260">
        <f t="shared" si="22"/>
        <v>4.8294544276315894E-3</v>
      </c>
      <c r="K161" s="260">
        <f t="shared" si="22"/>
        <v>3.876557589892621E-3</v>
      </c>
      <c r="L161" s="260">
        <f t="shared" si="22"/>
        <v>3.6166766341456298E-3</v>
      </c>
      <c r="M161" s="260">
        <f t="shared" si="22"/>
        <v>3.1402282152761456E-3</v>
      </c>
      <c r="N161" s="260">
        <f t="shared" si="22"/>
        <v>2.4255555869719192E-3</v>
      </c>
      <c r="O161" s="260">
        <f t="shared" si="22"/>
        <v>4.3845996595293707E-3</v>
      </c>
      <c r="P161" s="260" t="e">
        <f t="shared" si="22"/>
        <v>#DIV/0!</v>
      </c>
      <c r="Q161" s="216" t="s">
        <v>1034</v>
      </c>
    </row>
    <row r="162" spans="1:17" ht="15" customHeight="1" x14ac:dyDescent="0.25">
      <c r="A162">
        <f t="shared" si="19"/>
        <v>159</v>
      </c>
      <c r="C162" s="218" t="s">
        <v>755</v>
      </c>
      <c r="D162" s="215">
        <f t="shared" si="21"/>
        <v>1.3507270415111778E-2</v>
      </c>
      <c r="E162" s="260">
        <f t="shared" si="23"/>
        <v>1.3507270415111778E-2</v>
      </c>
      <c r="F162" s="260">
        <f t="shared" si="22"/>
        <v>1.1475076627750816E-2</v>
      </c>
      <c r="G162" s="260">
        <f t="shared" si="22"/>
        <v>1.021108426615858E-2</v>
      </c>
      <c r="H162" s="260">
        <f t="shared" si="22"/>
        <v>8.6749903715030805E-3</v>
      </c>
      <c r="I162" s="260">
        <f t="shared" si="22"/>
        <v>7.1944862452639939E-3</v>
      </c>
      <c r="J162" s="260">
        <f t="shared" si="22"/>
        <v>5.8991497185320292E-3</v>
      </c>
      <c r="K162" s="260">
        <f t="shared" si="22"/>
        <v>4.7351919265346785E-3</v>
      </c>
      <c r="L162" s="260">
        <f t="shared" si="22"/>
        <v>4.4177488923535834E-3</v>
      </c>
      <c r="M162" s="260">
        <f t="shared" si="22"/>
        <v>3.8357699963549072E-3</v>
      </c>
      <c r="N162" s="260">
        <f t="shared" si="22"/>
        <v>2.9628016523568939E-3</v>
      </c>
      <c r="O162" s="260">
        <f t="shared" si="22"/>
        <v>5.3557622781157423E-3</v>
      </c>
      <c r="P162" s="260" t="e">
        <f t="shared" si="22"/>
        <v>#DIV/0!</v>
      </c>
      <c r="Q162" s="216" t="s">
        <v>1035</v>
      </c>
    </row>
    <row r="163" spans="1:17" ht="15" customHeight="1" x14ac:dyDescent="0.25">
      <c r="A163">
        <f t="shared" si="19"/>
        <v>160</v>
      </c>
      <c r="C163" s="218" t="s">
        <v>756</v>
      </c>
      <c r="D163" s="215">
        <f t="shared" si="21"/>
        <v>8.7549943155385468E-4</v>
      </c>
      <c r="E163" s="260">
        <f t="shared" si="23"/>
        <v>8.7549943155385468E-4</v>
      </c>
      <c r="F163" s="260">
        <f t="shared" si="22"/>
        <v>7.4377892467399921E-4</v>
      </c>
      <c r="G163" s="260">
        <f t="shared" si="22"/>
        <v>6.6185085482323668E-4</v>
      </c>
      <c r="H163" s="260">
        <f t="shared" si="22"/>
        <v>5.6228600639319159E-4</v>
      </c>
      <c r="I163" s="260">
        <f t="shared" si="22"/>
        <v>4.6632431457088941E-4</v>
      </c>
      <c r="J163" s="260">
        <f t="shared" si="22"/>
        <v>3.8236461301964194E-4</v>
      </c>
      <c r="K163" s="260">
        <f t="shared" si="22"/>
        <v>3.0692047412787403E-4</v>
      </c>
      <c r="L163" s="260">
        <f t="shared" si="22"/>
        <v>2.8634479988466459E-4</v>
      </c>
      <c r="M163" s="260">
        <f t="shared" si="22"/>
        <v>2.4862273043878063E-4</v>
      </c>
      <c r="N163" s="260">
        <f t="shared" si="22"/>
        <v>1.920396262699547E-4</v>
      </c>
      <c r="O163" s="260">
        <f t="shared" si="22"/>
        <v>3.4714392219333581E-4</v>
      </c>
      <c r="P163" s="260" t="e">
        <f t="shared" si="22"/>
        <v>#DIV/0!</v>
      </c>
      <c r="Q163" s="216" t="s">
        <v>1036</v>
      </c>
    </row>
    <row r="164" spans="1:17" ht="15" customHeight="1" x14ac:dyDescent="0.25">
      <c r="A164">
        <f t="shared" si="19"/>
        <v>161</v>
      </c>
      <c r="C164" s="218" t="s">
        <v>757</v>
      </c>
      <c r="D164" s="215">
        <f t="shared" si="21"/>
        <v>8.8226937994057234E-3</v>
      </c>
      <c r="E164" s="260">
        <f t="shared" si="23"/>
        <v>8.8226937994057234E-3</v>
      </c>
      <c r="F164" s="260">
        <f t="shared" si="22"/>
        <v>7.4953032181909454E-3</v>
      </c>
      <c r="G164" s="260">
        <f t="shared" si="22"/>
        <v>6.6696872922197377E-3</v>
      </c>
      <c r="H164" s="260">
        <f t="shared" si="22"/>
        <v>5.6663397865297869E-3</v>
      </c>
      <c r="I164" s="260">
        <f t="shared" si="22"/>
        <v>4.6993024671354465E-3</v>
      </c>
      <c r="J164" s="260">
        <f t="shared" si="22"/>
        <v>3.8532131247797966E-3</v>
      </c>
      <c r="K164" s="260">
        <f t="shared" si="22"/>
        <v>3.092937889397236E-3</v>
      </c>
      <c r="L164" s="260">
        <f t="shared" si="22"/>
        <v>2.8855900979292649E-3</v>
      </c>
      <c r="M164" s="260">
        <f t="shared" si="22"/>
        <v>2.5054524802379844E-3</v>
      </c>
      <c r="N164" s="260">
        <f t="shared" si="22"/>
        <v>1.9352460537010638E-3</v>
      </c>
      <c r="O164" s="260">
        <f t="shared" si="22"/>
        <v>3.498282716644035E-3</v>
      </c>
      <c r="P164" s="260" t="e">
        <f t="shared" si="22"/>
        <v>#DIV/0!</v>
      </c>
      <c r="Q164" s="216" t="s">
        <v>1037</v>
      </c>
    </row>
    <row r="165" spans="1:17" ht="15" customHeight="1" x14ac:dyDescent="0.25">
      <c r="A165">
        <f t="shared" si="19"/>
        <v>162</v>
      </c>
      <c r="C165" s="218" t="s">
        <v>758</v>
      </c>
      <c r="D165" s="215">
        <f t="shared" si="21"/>
        <v>3.0144836628131656E-3</v>
      </c>
      <c r="E165" s="260">
        <f t="shared" si="23"/>
        <v>3.0144836628131656E-3</v>
      </c>
      <c r="F165" s="260">
        <f t="shared" si="22"/>
        <v>2.5609490267688379E-3</v>
      </c>
      <c r="G165" s="260">
        <f t="shared" si="22"/>
        <v>2.2788576636109995E-3</v>
      </c>
      <c r="H165" s="260">
        <f t="shared" si="22"/>
        <v>1.9360400692578527E-3</v>
      </c>
      <c r="I165" s="260">
        <f t="shared" si="22"/>
        <v>1.6056287156595635E-3</v>
      </c>
      <c r="J165" s="260">
        <f t="shared" si="22"/>
        <v>1.3165421217234531E-3</v>
      </c>
      <c r="K165" s="260">
        <f t="shared" si="22"/>
        <v>1.0567759631771214E-3</v>
      </c>
      <c r="L165" s="260">
        <f t="shared" si="22"/>
        <v>9.8593064720994025E-4</v>
      </c>
      <c r="M165" s="260">
        <f t="shared" si="22"/>
        <v>8.560475679367744E-4</v>
      </c>
      <c r="N165" s="260">
        <f t="shared" si="22"/>
        <v>6.6122294902702574E-4</v>
      </c>
      <c r="O165" s="260">
        <f t="shared" si="22"/>
        <v>1.1952716865154523E-3</v>
      </c>
      <c r="P165" s="260" t="e">
        <f t="shared" si="22"/>
        <v>#DIV/0!</v>
      </c>
      <c r="Q165" s="216" t="s">
        <v>1038</v>
      </c>
    </row>
    <row r="166" spans="1:17" ht="15" customHeight="1" x14ac:dyDescent="0.25">
      <c r="A166">
        <f t="shared" si="19"/>
        <v>163</v>
      </c>
      <c r="C166" s="218" t="s">
        <v>452</v>
      </c>
      <c r="D166" s="215">
        <f t="shared" si="21"/>
        <v>5.0894646903060668E-3</v>
      </c>
      <c r="E166" s="260">
        <f t="shared" si="23"/>
        <v>5.0894646903060668E-3</v>
      </c>
      <c r="F166" s="260">
        <f t="shared" si="22"/>
        <v>4.3237453253438026E-3</v>
      </c>
      <c r="G166" s="260">
        <f t="shared" si="22"/>
        <v>3.8474800033774159E-3</v>
      </c>
      <c r="H166" s="260">
        <f t="shared" si="22"/>
        <v>3.2686883306278038E-3</v>
      </c>
      <c r="I166" s="260">
        <f t="shared" si="22"/>
        <v>2.7108425747661142E-3</v>
      </c>
      <c r="J166" s="260">
        <f t="shared" si="22"/>
        <v>2.2227669449563828E-3</v>
      </c>
      <c r="K166" s="260">
        <f t="shared" si="22"/>
        <v>2.0749711336209769E-2</v>
      </c>
      <c r="L166" s="260">
        <f t="shared" si="22"/>
        <v>2.5802514352006149E-2</v>
      </c>
      <c r="M166" s="260">
        <f t="shared" si="22"/>
        <v>1.4452968924604283E-3</v>
      </c>
      <c r="N166" s="260">
        <f t="shared" si="22"/>
        <v>1.116367254865986E-3</v>
      </c>
      <c r="O166" s="260">
        <f t="shared" si="22"/>
        <v>2.0180215666406858E-3</v>
      </c>
      <c r="P166" s="260" t="e">
        <f t="shared" si="22"/>
        <v>#DIV/0!</v>
      </c>
      <c r="Q166" s="216" t="s">
        <v>1039</v>
      </c>
    </row>
    <row r="167" spans="1:17" ht="15" customHeight="1" x14ac:dyDescent="0.25">
      <c r="A167">
        <f t="shared" si="19"/>
        <v>164</v>
      </c>
      <c r="C167" s="218" t="s">
        <v>453</v>
      </c>
      <c r="D167" s="215">
        <f t="shared" si="21"/>
        <v>4.5326481049770889E-3</v>
      </c>
      <c r="E167" s="260">
        <f t="shared" si="23"/>
        <v>4.5326481049770889E-3</v>
      </c>
      <c r="F167" s="260">
        <f t="shared" si="22"/>
        <v>3.8507028239436625E-3</v>
      </c>
      <c r="G167" s="260">
        <f t="shared" si="22"/>
        <v>3.4265436558509918E-3</v>
      </c>
      <c r="H167" s="260">
        <f t="shared" si="22"/>
        <v>2.9110751069362176E-3</v>
      </c>
      <c r="I167" s="260">
        <f t="shared" si="22"/>
        <v>2.4142608716410828E-3</v>
      </c>
      <c r="J167" s="260">
        <f t="shared" si="22"/>
        <v>1.9795835110227233E-3</v>
      </c>
      <c r="K167" s="260">
        <f t="shared" si="22"/>
        <v>1.5889930424801231E-3</v>
      </c>
      <c r="L167" s="260">
        <f t="shared" si="22"/>
        <v>1.4824683692412322E-3</v>
      </c>
      <c r="M167" s="260">
        <f t="shared" si="22"/>
        <v>3.4907862790142345E-2</v>
      </c>
      <c r="N167" s="260">
        <f t="shared" si="22"/>
        <v>4.9270092352528501E-2</v>
      </c>
      <c r="O167" s="260">
        <f t="shared" si="22"/>
        <v>1.7972384497055472E-3</v>
      </c>
      <c r="P167" s="260" t="e">
        <f t="shared" si="22"/>
        <v>#DIV/0!</v>
      </c>
      <c r="Q167" s="216" t="s">
        <v>1040</v>
      </c>
    </row>
    <row r="168" spans="1:17" ht="15" customHeight="1" x14ac:dyDescent="0.25">
      <c r="A168">
        <f t="shared" si="19"/>
        <v>165</v>
      </c>
      <c r="C168" s="218" t="s">
        <v>759</v>
      </c>
      <c r="D168" s="215">
        <f t="shared" si="21"/>
        <v>2.2480005503104544E-4</v>
      </c>
      <c r="E168" s="260">
        <f t="shared" si="23"/>
        <v>2.2480005503104544E-4</v>
      </c>
      <c r="F168" s="260">
        <f t="shared" si="22"/>
        <v>1.9097847145473759E-4</v>
      </c>
      <c r="G168" s="260">
        <f t="shared" si="22"/>
        <v>1.6994198194114523E-4</v>
      </c>
      <c r="H168" s="260">
        <f t="shared" si="22"/>
        <v>1.4437693575201468E-4</v>
      </c>
      <c r="I168" s="260">
        <f t="shared" si="22"/>
        <v>1.1973706412555458E-4</v>
      </c>
      <c r="J168" s="260">
        <f t="shared" si="22"/>
        <v>9.8178917028174568E-5</v>
      </c>
      <c r="K168" s="260">
        <f t="shared" si="22"/>
        <v>7.8807292143691704E-5</v>
      </c>
      <c r="L168" s="260">
        <f t="shared" si="22"/>
        <v>7.3524121720650916E-5</v>
      </c>
      <c r="M168" s="260">
        <f t="shared" si="22"/>
        <v>6.3838309278409477E-5</v>
      </c>
      <c r="N168" s="260">
        <f t="shared" si="22"/>
        <v>4.9309590615047319E-5</v>
      </c>
      <c r="O168" s="260">
        <f t="shared" si="22"/>
        <v>8.9135378048448794E-5</v>
      </c>
      <c r="P168" s="260" t="e">
        <f t="shared" si="22"/>
        <v>#DIV/0!</v>
      </c>
      <c r="Q168" s="216" t="s">
        <v>1041</v>
      </c>
    </row>
    <row r="169" spans="1:17" ht="15" customHeight="1" x14ac:dyDescent="0.25">
      <c r="A169">
        <f t="shared" si="19"/>
        <v>166</v>
      </c>
      <c r="C169" s="218" t="s">
        <v>760</v>
      </c>
      <c r="D169" s="215">
        <f t="shared" si="21"/>
        <v>1.066511906006096E-2</v>
      </c>
      <c r="E169" s="260">
        <f t="shared" si="23"/>
        <v>1.066511906006096E-2</v>
      </c>
      <c r="F169" s="260">
        <f t="shared" si="22"/>
        <v>9.0605321946738045E-3</v>
      </c>
      <c r="G169" s="260">
        <f t="shared" si="22"/>
        <v>8.0625045685809096E-3</v>
      </c>
      <c r="H169" s="260">
        <f t="shared" si="22"/>
        <v>6.8496300372762756E-3</v>
      </c>
      <c r="I169" s="260">
        <f t="shared" si="22"/>
        <v>5.6806482748629024E-3</v>
      </c>
      <c r="J169" s="260">
        <f t="shared" si="22"/>
        <v>4.6578718103459657E-3</v>
      </c>
      <c r="K169" s="260">
        <f t="shared" si="22"/>
        <v>3.7388298387978827E-3</v>
      </c>
      <c r="L169" s="260">
        <f t="shared" si="22"/>
        <v>3.4881820283756784E-3</v>
      </c>
      <c r="M169" s="260">
        <f t="shared" si="22"/>
        <v>3.0286610426016368E-3</v>
      </c>
      <c r="N169" s="260">
        <f t="shared" si="22"/>
        <v>2.3393795639405747E-3</v>
      </c>
      <c r="O169" s="260">
        <f t="shared" si="22"/>
        <v>4.2288220045985526E-3</v>
      </c>
      <c r="P169" s="260" t="e">
        <f t="shared" si="22"/>
        <v>#DIV/0!</v>
      </c>
      <c r="Q169" s="216" t="s">
        <v>1042</v>
      </c>
    </row>
    <row r="170" spans="1:17" ht="15" customHeight="1" x14ac:dyDescent="0.25">
      <c r="A170">
        <f t="shared" si="19"/>
        <v>167</v>
      </c>
      <c r="C170" s="218" t="s">
        <v>231</v>
      </c>
      <c r="D170" s="215">
        <f t="shared" si="21"/>
        <v>0.30931648670294853</v>
      </c>
      <c r="E170" s="260">
        <f t="shared" si="23"/>
        <v>0.30931648670294853</v>
      </c>
      <c r="F170" s="260">
        <f t="shared" si="23"/>
        <v>0.26040909219729036</v>
      </c>
      <c r="G170" s="260">
        <f t="shared" si="23"/>
        <v>0.25203033551146697</v>
      </c>
      <c r="H170" s="260">
        <f t="shared" si="23"/>
        <v>0.18370355547303496</v>
      </c>
      <c r="I170" s="260">
        <f t="shared" si="23"/>
        <v>0.16282102785447222</v>
      </c>
      <c r="J170" s="260">
        <f t="shared" si="23"/>
        <v>0.14630116500579421</v>
      </c>
      <c r="K170" s="260">
        <f t="shared" si="23"/>
        <v>0.13008005368456863</v>
      </c>
      <c r="L170" s="260">
        <f t="shared" si="23"/>
        <v>0.12565611423332529</v>
      </c>
      <c r="M170" s="260">
        <f t="shared" si="23"/>
        <v>0.11754555857271247</v>
      </c>
      <c r="N170" s="260">
        <f t="shared" si="23"/>
        <v>0.10537972508179329</v>
      </c>
      <c r="O170" s="260">
        <f t="shared" si="23"/>
        <v>0.14033583904018679</v>
      </c>
      <c r="P170" s="260" t="e">
        <f t="shared" si="23"/>
        <v>#DIV/0!</v>
      </c>
      <c r="Q170" s="216" t="s">
        <v>1043</v>
      </c>
    </row>
    <row r="171" spans="1:17" ht="15" customHeight="1" x14ac:dyDescent="0.25">
      <c r="A171">
        <f t="shared" si="19"/>
        <v>168</v>
      </c>
      <c r="C171" s="218" t="s">
        <v>761</v>
      </c>
      <c r="D171" s="215">
        <f t="shared" si="21"/>
        <v>2.2167871049375412E-2</v>
      </c>
      <c r="E171" s="260">
        <f t="shared" si="23"/>
        <v>2.2167871049375412E-2</v>
      </c>
      <c r="F171" s="260">
        <f t="shared" si="23"/>
        <v>1.8832673896947122E-2</v>
      </c>
      <c r="G171" s="260">
        <f t="shared" si="23"/>
        <v>1.6758234071723541E-2</v>
      </c>
      <c r="H171" s="260">
        <f t="shared" si="23"/>
        <v>1.4237226471375281E-2</v>
      </c>
      <c r="I171" s="260">
        <f t="shared" si="23"/>
        <v>1.1807451724153364E-2</v>
      </c>
      <c r="J171" s="260">
        <f t="shared" si="23"/>
        <v>9.6815704611252565E-3</v>
      </c>
      <c r="K171" s="260">
        <f t="shared" si="23"/>
        <v>7.7713054374054756E-3</v>
      </c>
      <c r="L171" s="260">
        <f t="shared" si="23"/>
        <v>7.2503240673000811E-3</v>
      </c>
      <c r="M171" s="260">
        <f t="shared" si="23"/>
        <v>6.2951915554401898E-3</v>
      </c>
      <c r="N171" s="260">
        <f t="shared" si="23"/>
        <v>4.8624927876503533E-3</v>
      </c>
      <c r="O171" s="260">
        <f t="shared" si="23"/>
        <v>8.7897735000218667E-3</v>
      </c>
      <c r="P171" s="260" t="e">
        <f t="shared" si="23"/>
        <v>#DIV/0!</v>
      </c>
      <c r="Q171" s="216" t="s">
        <v>1044</v>
      </c>
    </row>
    <row r="172" spans="1:17" ht="15" customHeight="1" x14ac:dyDescent="0.25">
      <c r="A172">
        <f t="shared" si="19"/>
        <v>169</v>
      </c>
      <c r="C172" s="218" t="s">
        <v>232</v>
      </c>
      <c r="D172" s="215">
        <f t="shared" si="21"/>
        <v>4.3907549921337575E-4</v>
      </c>
      <c r="E172" s="260">
        <f t="shared" si="23"/>
        <v>4.3907549921337575E-4</v>
      </c>
      <c r="F172" s="260">
        <f t="shared" si="23"/>
        <v>4.3949646734633193E-4</v>
      </c>
      <c r="G172" s="260">
        <f t="shared" si="23"/>
        <v>4.4052211297298323E-4</v>
      </c>
      <c r="H172" s="260">
        <f t="shared" si="23"/>
        <v>1.7397304490417595E-4</v>
      </c>
      <c r="I172" s="260">
        <f t="shared" si="23"/>
        <v>1.7436102088162222E-4</v>
      </c>
      <c r="J172" s="260">
        <f t="shared" si="23"/>
        <v>1.7474633810166386E-4</v>
      </c>
      <c r="K172" s="260">
        <f t="shared" si="23"/>
        <v>1.7474633810166386E-4</v>
      </c>
      <c r="L172" s="260">
        <f t="shared" si="23"/>
        <v>1.7474633810166386E-4</v>
      </c>
      <c r="M172" s="260">
        <f t="shared" si="23"/>
        <v>1.7474633810166386E-4</v>
      </c>
      <c r="N172" s="260">
        <f t="shared" si="23"/>
        <v>1.7474633810166386E-4</v>
      </c>
      <c r="O172" s="260">
        <f t="shared" si="23"/>
        <v>1.9312579623556399E-4</v>
      </c>
      <c r="P172" s="260" t="e">
        <f t="shared" si="23"/>
        <v>#DIV/0!</v>
      </c>
      <c r="Q172" s="216" t="s">
        <v>1045</v>
      </c>
    </row>
    <row r="173" spans="1:17" ht="15" customHeight="1" x14ac:dyDescent="0.25">
      <c r="A173">
        <f t="shared" si="19"/>
        <v>170</v>
      </c>
      <c r="C173" s="218" t="s">
        <v>233</v>
      </c>
      <c r="D173" s="215">
        <f t="shared" si="21"/>
        <v>1.6813167332400596E-6</v>
      </c>
      <c r="E173" s="260">
        <f t="shared" si="23"/>
        <v>1.6813167332400596E-6</v>
      </c>
      <c r="F173" s="260">
        <f t="shared" si="23"/>
        <v>1.6797367958733203E-6</v>
      </c>
      <c r="G173" s="260">
        <f t="shared" si="23"/>
        <v>1.6787540998451298E-6</v>
      </c>
      <c r="H173" s="260">
        <f t="shared" si="23"/>
        <v>6.7444067240459779E-9</v>
      </c>
      <c r="I173" s="260">
        <f t="shared" si="23"/>
        <v>5.5933827394217004E-9</v>
      </c>
      <c r="J173" s="260">
        <f t="shared" si="23"/>
        <v>4.5863180619216927E-9</v>
      </c>
      <c r="K173" s="260">
        <f t="shared" si="23"/>
        <v>3.6813943187622558E-9</v>
      </c>
      <c r="L173" s="260">
        <f t="shared" si="23"/>
        <v>3.4345969342642276E-9</v>
      </c>
      <c r="M173" s="260">
        <f t="shared" si="23"/>
        <v>2.9821350626845089E-9</v>
      </c>
      <c r="N173" s="260">
        <f t="shared" si="23"/>
        <v>2.3034422553149311E-9</v>
      </c>
      <c r="O173" s="260">
        <f t="shared" si="23"/>
        <v>1.4690376243685342E-6</v>
      </c>
      <c r="P173" s="260" t="e">
        <f t="shared" si="23"/>
        <v>#DIV/0!</v>
      </c>
      <c r="Q173" s="216" t="s">
        <v>1046</v>
      </c>
    </row>
    <row r="174" spans="1:17" ht="15" customHeight="1" x14ac:dyDescent="0.25">
      <c r="A174">
        <f t="shared" si="19"/>
        <v>171</v>
      </c>
      <c r="C174" s="218" t="s">
        <v>327</v>
      </c>
      <c r="D174" s="215">
        <f t="shared" si="21"/>
        <v>3.2911754527926436E-3</v>
      </c>
      <c r="E174" s="260">
        <f t="shared" si="23"/>
        <v>3.2911754527926436E-3</v>
      </c>
      <c r="F174" s="260">
        <f t="shared" si="23"/>
        <v>3.2695536759580258E-3</v>
      </c>
      <c r="G174" s="260">
        <f t="shared" si="23"/>
        <v>3.2655702823936456E-3</v>
      </c>
      <c r="H174" s="260">
        <f t="shared" si="23"/>
        <v>8.9389835398061138E-4</v>
      </c>
      <c r="I174" s="260">
        <f t="shared" si="23"/>
        <v>8.7915683614868184E-4</v>
      </c>
      <c r="J174" s="260">
        <f t="shared" si="23"/>
        <v>8.6682778188563547E-4</v>
      </c>
      <c r="K174" s="260">
        <f t="shared" si="23"/>
        <v>8.5145587166645526E-4</v>
      </c>
      <c r="L174" s="260">
        <f t="shared" si="23"/>
        <v>8.4726353251576977E-4</v>
      </c>
      <c r="M174" s="260">
        <f t="shared" si="23"/>
        <v>8.3957757740617961E-4</v>
      </c>
      <c r="N174" s="260">
        <f t="shared" si="23"/>
        <v>8.2804864474179452E-4</v>
      </c>
      <c r="O174" s="260">
        <f t="shared" si="23"/>
        <v>6.6043761287206283E-4</v>
      </c>
      <c r="P174" s="260" t="e">
        <f t="shared" si="23"/>
        <v>#DIV/0!</v>
      </c>
      <c r="Q174" s="216" t="s">
        <v>1047</v>
      </c>
    </row>
    <row r="175" spans="1:17" ht="15" customHeight="1" x14ac:dyDescent="0.25">
      <c r="A175">
        <f t="shared" si="19"/>
        <v>172</v>
      </c>
      <c r="C175" s="218" t="s">
        <v>234</v>
      </c>
      <c r="D175" s="215">
        <f t="shared" si="21"/>
        <v>3.855495876605314E-3</v>
      </c>
      <c r="E175" s="260">
        <f t="shared" si="23"/>
        <v>3.855495876605314E-3</v>
      </c>
      <c r="F175" s="260">
        <f t="shared" si="23"/>
        <v>3.7529702910798434E-3</v>
      </c>
      <c r="G175" s="260">
        <f t="shared" si="23"/>
        <v>3.6909579961389707E-3</v>
      </c>
      <c r="H175" s="260">
        <f t="shared" si="23"/>
        <v>5.7530054831427002E-4</v>
      </c>
      <c r="I175" s="260">
        <f t="shared" si="23"/>
        <v>5.007890171877964E-4</v>
      </c>
      <c r="J175" s="260">
        <f t="shared" si="23"/>
        <v>4.3570147913443344E-4</v>
      </c>
      <c r="K175" s="260">
        <f t="shared" si="23"/>
        <v>3.76424367249415E-4</v>
      </c>
      <c r="L175" s="260">
        <f t="shared" si="23"/>
        <v>3.6025788218986446E-4</v>
      </c>
      <c r="M175" s="260">
        <f t="shared" si="23"/>
        <v>3.3061932624735518E-4</v>
      </c>
      <c r="N175" s="260">
        <f t="shared" si="23"/>
        <v>2.8616149233359127E-4</v>
      </c>
      <c r="O175" s="260">
        <f t="shared" si="23"/>
        <v>2.07421746529779E-3</v>
      </c>
      <c r="P175" s="260" t="e">
        <f t="shared" si="23"/>
        <v>#DIV/0!</v>
      </c>
      <c r="Q175" s="216" t="s">
        <v>1048</v>
      </c>
    </row>
    <row r="176" spans="1:17" ht="15" customHeight="1" x14ac:dyDescent="0.25">
      <c r="A176">
        <f t="shared" si="19"/>
        <v>173</v>
      </c>
      <c r="C176" s="218" t="s">
        <v>762</v>
      </c>
      <c r="D176" s="215">
        <f t="shared" si="21"/>
        <v>4.940670071172883E-3</v>
      </c>
      <c r="E176" s="260">
        <f t="shared" si="23"/>
        <v>4.940670071172883E-3</v>
      </c>
      <c r="F176" s="260">
        <f t="shared" si="23"/>
        <v>4.1973371315432223E-3</v>
      </c>
      <c r="G176" s="260">
        <f t="shared" si="23"/>
        <v>3.7349958117068264E-3</v>
      </c>
      <c r="H176" s="260">
        <f t="shared" si="23"/>
        <v>3.1731255819270952E-3</v>
      </c>
      <c r="I176" s="260">
        <f t="shared" si="23"/>
        <v>2.6315888982035036E-3</v>
      </c>
      <c r="J176" s="260">
        <f t="shared" si="23"/>
        <v>2.1577825544316638E-3</v>
      </c>
      <c r="K176" s="260">
        <f t="shared" si="23"/>
        <v>1.7320317365168961E-3</v>
      </c>
      <c r="L176" s="260">
        <f t="shared" si="23"/>
        <v>1.6159178770855959E-3</v>
      </c>
      <c r="M176" s="260">
        <f t="shared" si="23"/>
        <v>1.4030424681282119E-3</v>
      </c>
      <c r="N176" s="260">
        <f t="shared" si="23"/>
        <v>1.0837293546921362E-3</v>
      </c>
      <c r="O176" s="260">
        <f t="shared" si="23"/>
        <v>1.9590230729517951E-3</v>
      </c>
      <c r="P176" s="260" t="e">
        <f t="shared" si="23"/>
        <v>#DIV/0!</v>
      </c>
      <c r="Q176" s="216" t="s">
        <v>1049</v>
      </c>
    </row>
    <row r="177" spans="1:17" ht="15" customHeight="1" x14ac:dyDescent="0.25">
      <c r="A177">
        <f t="shared" si="19"/>
        <v>174</v>
      </c>
      <c r="C177" s="218" t="s">
        <v>775</v>
      </c>
      <c r="D177" s="215">
        <f t="shared" si="21"/>
        <v>8.0465275811290009E-5</v>
      </c>
      <c r="E177" s="260">
        <f t="shared" si="23"/>
        <v>8.0465275811290009E-5</v>
      </c>
      <c r="F177" s="260">
        <f t="shared" si="23"/>
        <v>7.877079629050358E-5</v>
      </c>
      <c r="G177" s="260">
        <f t="shared" si="23"/>
        <v>7.969056970855227E-5</v>
      </c>
      <c r="H177" s="260">
        <f t="shared" si="23"/>
        <v>8.0331806112131379E-5</v>
      </c>
      <c r="I177" s="260">
        <f t="shared" si="23"/>
        <v>7.931310698736438E-5</v>
      </c>
      <c r="J177" s="260">
        <f t="shared" si="23"/>
        <v>7.8541011318080539E-5</v>
      </c>
      <c r="K177" s="260">
        <f t="shared" si="23"/>
        <v>7.6947436802364631E-5</v>
      </c>
      <c r="L177" s="260">
        <f t="shared" si="23"/>
        <v>7.6512825570805744E-5</v>
      </c>
      <c r="M177" s="260">
        <f t="shared" si="23"/>
        <v>7.571603831294779E-5</v>
      </c>
      <c r="N177" s="260">
        <f t="shared" si="23"/>
        <v>7.4520857426160859E-5</v>
      </c>
      <c r="O177" s="260">
        <f t="shared" si="23"/>
        <v>8.0325425346402022E-5</v>
      </c>
      <c r="P177" s="260" t="e">
        <f t="shared" si="23"/>
        <v>#DIV/0!</v>
      </c>
      <c r="Q177" s="216" t="s">
        <v>1050</v>
      </c>
    </row>
    <row r="178" spans="1:17" ht="15" customHeight="1" x14ac:dyDescent="0.25">
      <c r="A178">
        <f t="shared" si="19"/>
        <v>175</v>
      </c>
      <c r="C178" s="218" t="s">
        <v>763</v>
      </c>
      <c r="D178" s="215">
        <f t="shared" si="21"/>
        <v>8.8913912736232414E-5</v>
      </c>
      <c r="E178" s="260">
        <f t="shared" si="23"/>
        <v>8.8913912736232414E-5</v>
      </c>
      <c r="F178" s="260">
        <f t="shared" si="23"/>
        <v>7.5536650305003372E-5</v>
      </c>
      <c r="G178" s="260">
        <f t="shared" si="23"/>
        <v>6.7216204864587847E-5</v>
      </c>
      <c r="H178" s="260">
        <f t="shared" si="23"/>
        <v>5.7104604644364654E-5</v>
      </c>
      <c r="I178" s="260">
        <f t="shared" si="23"/>
        <v>4.7358933562013349E-5</v>
      </c>
      <c r="J178" s="260">
        <f t="shared" si="23"/>
        <v>3.8832159805189356E-5</v>
      </c>
      <c r="K178" s="260">
        <f t="shared" si="23"/>
        <v>3.1170208991609393E-5</v>
      </c>
      <c r="L178" s="260">
        <f t="shared" si="23"/>
        <v>2.9080586042451224E-5</v>
      </c>
      <c r="M178" s="260">
        <f t="shared" si="23"/>
        <v>2.5249610635661239E-5</v>
      </c>
      <c r="N178" s="260">
        <f t="shared" si="23"/>
        <v>1.9503147525476267E-5</v>
      </c>
      <c r="O178" s="260">
        <f t="shared" si="23"/>
        <v>3.5255219241011082E-5</v>
      </c>
      <c r="P178" s="260" t="e">
        <f t="shared" si="23"/>
        <v>#DIV/0!</v>
      </c>
      <c r="Q178" s="216" t="s">
        <v>1051</v>
      </c>
    </row>
    <row r="179" spans="1:17" ht="15" customHeight="1" x14ac:dyDescent="0.25">
      <c r="A179">
        <f t="shared" si="19"/>
        <v>176</v>
      </c>
      <c r="C179" s="218" t="s">
        <v>512</v>
      </c>
      <c r="D179" s="215">
        <f t="shared" si="21"/>
        <v>4.9205648973279906E-2</v>
      </c>
      <c r="E179" s="260">
        <f t="shared" si="23"/>
        <v>4.9205648973279906E-2</v>
      </c>
      <c r="F179" s="260">
        <f t="shared" si="23"/>
        <v>4.46197067442793E-2</v>
      </c>
      <c r="G179" s="260">
        <f t="shared" si="23"/>
        <v>4.1883611785377278E-2</v>
      </c>
      <c r="H179" s="260">
        <f t="shared" si="23"/>
        <v>2.3828271781936798E-2</v>
      </c>
      <c r="I179" s="260">
        <f t="shared" si="23"/>
        <v>2.0499925459947711E-2</v>
      </c>
      <c r="J179" s="260">
        <f t="shared" si="23"/>
        <v>1.7594870204289102E-2</v>
      </c>
      <c r="K179" s="260">
        <f t="shared" si="23"/>
        <v>1.4931520354233434E-2</v>
      </c>
      <c r="L179" s="260">
        <f t="shared" si="23"/>
        <v>1.4205152213309162E-2</v>
      </c>
      <c r="M179" s="260">
        <f t="shared" si="23"/>
        <v>1.2873477288281329E-2</v>
      </c>
      <c r="N179" s="260">
        <f t="shared" si="23"/>
        <v>1.0875964900739579E-2</v>
      </c>
      <c r="O179" s="260">
        <f t="shared" si="23"/>
        <v>1.9613021048376374E-2</v>
      </c>
      <c r="P179" s="260" t="e">
        <f t="shared" si="23"/>
        <v>#DIV/0!</v>
      </c>
      <c r="Q179" s="216" t="s">
        <v>1052</v>
      </c>
    </row>
    <row r="180" spans="1:17" ht="15" customHeight="1" x14ac:dyDescent="0.25">
      <c r="A180">
        <f t="shared" si="19"/>
        <v>177</v>
      </c>
      <c r="C180" s="218" t="s">
        <v>764</v>
      </c>
      <c r="D180" s="215">
        <f t="shared" si="21"/>
        <v>1.8924430229125078E-7</v>
      </c>
      <c r="E180" s="260">
        <f t="shared" si="23"/>
        <v>1.8924430229125078E-7</v>
      </c>
      <c r="F180" s="260">
        <f t="shared" si="23"/>
        <v>1.6077214740054281E-7</v>
      </c>
      <c r="G180" s="260">
        <f t="shared" si="23"/>
        <v>1.4306291783604289E-7</v>
      </c>
      <c r="H180" s="260">
        <f t="shared" si="23"/>
        <v>1.215413958398073E-7</v>
      </c>
      <c r="I180" s="260">
        <f t="shared" si="23"/>
        <v>1.007987171342729E-7</v>
      </c>
      <c r="J180" s="260">
        <f t="shared" si="23"/>
        <v>8.2650338542584356E-8</v>
      </c>
      <c r="K180" s="260">
        <f t="shared" si="23"/>
        <v>6.6342648426558745E-8</v>
      </c>
      <c r="L180" s="260">
        <f t="shared" si="23"/>
        <v>6.189509657673358E-8</v>
      </c>
      <c r="M180" s="260">
        <f t="shared" si="23"/>
        <v>5.3741251518720769E-8</v>
      </c>
      <c r="N180" s="260">
        <f t="shared" si="23"/>
        <v>4.1510483931701558E-8</v>
      </c>
      <c r="O180" s="260">
        <f t="shared" si="23"/>
        <v>7.5037181044800016E-8</v>
      </c>
      <c r="P180" s="260" t="e">
        <f t="shared" si="23"/>
        <v>#DIV/0!</v>
      </c>
      <c r="Q180" s="216" t="s">
        <v>941</v>
      </c>
    </row>
    <row r="181" spans="1:17" ht="15" customHeight="1" x14ac:dyDescent="0.25">
      <c r="A181">
        <f t="shared" si="19"/>
        <v>178</v>
      </c>
      <c r="C181" s="218" t="s">
        <v>765</v>
      </c>
      <c r="D181" s="215">
        <f t="shared" si="21"/>
        <v>2.0849831681005046E-7</v>
      </c>
      <c r="E181" s="260">
        <f t="shared" si="23"/>
        <v>2.0849831681005046E-7</v>
      </c>
      <c r="F181" s="260">
        <f t="shared" si="23"/>
        <v>1.7712935986501427E-7</v>
      </c>
      <c r="G181" s="260">
        <f t="shared" si="23"/>
        <v>1.5761836528553981E-7</v>
      </c>
      <c r="H181" s="260">
        <f t="shared" si="23"/>
        <v>1.3390720961492046E-7</v>
      </c>
      <c r="I181" s="260">
        <f t="shared" si="23"/>
        <v>1.1105413798278422E-7</v>
      </c>
      <c r="J181" s="260">
        <f t="shared" si="23"/>
        <v>9.1059314659780772E-8</v>
      </c>
      <c r="K181" s="260">
        <f t="shared" si="23"/>
        <v>7.3092454368164839E-8</v>
      </c>
      <c r="L181" s="260">
        <f t="shared" si="23"/>
        <v>6.8192401561360503E-8</v>
      </c>
      <c r="M181" s="260">
        <f t="shared" si="23"/>
        <v>5.9208971415552523E-8</v>
      </c>
      <c r="N181" s="260">
        <f t="shared" si="23"/>
        <v>4.5733826196840566E-8</v>
      </c>
      <c r="O181" s="260">
        <f t="shared" si="23"/>
        <v>8.2671582481430081E-8</v>
      </c>
      <c r="P181" s="260" t="e">
        <f t="shared" si="23"/>
        <v>#DIV/0!</v>
      </c>
      <c r="Q181" s="216" t="s">
        <v>942</v>
      </c>
    </row>
    <row r="182" spans="1:17" ht="15" customHeight="1" x14ac:dyDescent="0.25">
      <c r="A182">
        <f t="shared" si="19"/>
        <v>179</v>
      </c>
      <c r="C182" s="218" t="s">
        <v>513</v>
      </c>
      <c r="D182" s="215">
        <f t="shared" si="21"/>
        <v>1.5990314034892649E-4</v>
      </c>
      <c r="E182" s="260">
        <f t="shared" si="23"/>
        <v>1.5990314034892649E-4</v>
      </c>
      <c r="F182" s="260">
        <f t="shared" si="23"/>
        <v>1.3584541764282508E-4</v>
      </c>
      <c r="G182" s="260">
        <f t="shared" si="23"/>
        <v>1.2088189502624342E-4</v>
      </c>
      <c r="H182" s="260">
        <f t="shared" si="23"/>
        <v>1.0269715303081924E-4</v>
      </c>
      <c r="I182" s="260">
        <f t="shared" si="23"/>
        <v>8.5170498854669419E-5</v>
      </c>
      <c r="J182" s="260">
        <f t="shared" si="23"/>
        <v>6.9835914545400102E-5</v>
      </c>
      <c r="K182" s="260">
        <f t="shared" si="23"/>
        <v>5.6056631295908202E-5</v>
      </c>
      <c r="L182" s="260">
        <f t="shared" si="23"/>
        <v>5.229864495513769E-5</v>
      </c>
      <c r="M182" s="260">
        <f t="shared" si="23"/>
        <v>4.5409003330391733E-5</v>
      </c>
      <c r="N182" s="260">
        <f t="shared" si="23"/>
        <v>3.5074540893272808E-5</v>
      </c>
      <c r="O182" s="260">
        <f t="shared" si="23"/>
        <v>6.3403128883313868E-5</v>
      </c>
      <c r="P182" s="260" t="e">
        <f t="shared" si="23"/>
        <v>#DIV/0!</v>
      </c>
      <c r="Q182" s="216" t="s">
        <v>943</v>
      </c>
    </row>
    <row r="183" spans="1:17" ht="15" customHeight="1" x14ac:dyDescent="0.25">
      <c r="A183">
        <f t="shared" si="19"/>
        <v>180</v>
      </c>
      <c r="C183" s="218" t="s">
        <v>766</v>
      </c>
      <c r="D183" s="215">
        <f t="shared" si="21"/>
        <v>3.0299216715071059E-6</v>
      </c>
      <c r="E183" s="260">
        <f t="shared" si="23"/>
        <v>3.0299216715071059E-6</v>
      </c>
      <c r="F183" s="260">
        <f t="shared" si="23"/>
        <v>2.5740643585345105E-6</v>
      </c>
      <c r="G183" s="260">
        <f t="shared" si="23"/>
        <v>2.2905283271004304E-6</v>
      </c>
      <c r="H183" s="260">
        <f t="shared" si="23"/>
        <v>1.9459550685626181E-6</v>
      </c>
      <c r="I183" s="260">
        <f t="shared" si="23"/>
        <v>1.6138515865868054E-6</v>
      </c>
      <c r="J183" s="260">
        <f t="shared" si="23"/>
        <v>1.3232844998533574E-6</v>
      </c>
      <c r="K183" s="260">
        <f t="shared" si="23"/>
        <v>1.0621880066087487E-6</v>
      </c>
      <c r="L183" s="260">
        <f t="shared" si="23"/>
        <v>9.909798720874919E-7</v>
      </c>
      <c r="M183" s="260">
        <f t="shared" si="23"/>
        <v>8.6043162546518753E-7</v>
      </c>
      <c r="N183" s="260">
        <f t="shared" si="23"/>
        <v>6.6460925553173104E-7</v>
      </c>
      <c r="O183" s="260">
        <f t="shared" si="23"/>
        <v>1.2013930050403056E-6</v>
      </c>
      <c r="P183" s="260" t="e">
        <f t="shared" si="23"/>
        <v>#DIV/0!</v>
      </c>
      <c r="Q183" s="216" t="s">
        <v>944</v>
      </c>
    </row>
    <row r="184" spans="1:17" ht="15" customHeight="1" x14ac:dyDescent="0.25">
      <c r="A184">
        <f t="shared" si="19"/>
        <v>181</v>
      </c>
      <c r="C184" s="218" t="s">
        <v>767</v>
      </c>
      <c r="D184" s="215">
        <f t="shared" si="21"/>
        <v>1.2958520547731506E-6</v>
      </c>
      <c r="E184" s="260">
        <f t="shared" si="23"/>
        <v>1.2958520547731506E-6</v>
      </c>
      <c r="F184" s="260">
        <f t="shared" si="23"/>
        <v>1.1008887191681498E-6</v>
      </c>
      <c r="G184" s="260">
        <f t="shared" si="23"/>
        <v>9.7962461112494745E-7</v>
      </c>
      <c r="H184" s="260">
        <f t="shared" si="23"/>
        <v>8.322557965133132E-7</v>
      </c>
      <c r="I184" s="260">
        <f t="shared" si="23"/>
        <v>6.9022011830991866E-7</v>
      </c>
      <c r="J184" s="260">
        <f t="shared" si="23"/>
        <v>5.6594893337011221E-7</v>
      </c>
      <c r="K184" s="260">
        <f t="shared" si="23"/>
        <v>4.542818792522425E-7</v>
      </c>
      <c r="L184" s="260">
        <f t="shared" si="23"/>
        <v>4.238272281291872E-7</v>
      </c>
      <c r="M184" s="260">
        <f t="shared" si="23"/>
        <v>3.6799370107025231E-7</v>
      </c>
      <c r="N184" s="260">
        <f t="shared" si="23"/>
        <v>2.8424341048185004E-7</v>
      </c>
      <c r="O184" s="260">
        <f t="shared" si="23"/>
        <v>5.1381776922213051E-7</v>
      </c>
      <c r="P184" s="260" t="e">
        <f t="shared" si="23"/>
        <v>#DIV/0!</v>
      </c>
      <c r="Q184" s="216" t="s">
        <v>945</v>
      </c>
    </row>
    <row r="185" spans="1:17" ht="15" customHeight="1" x14ac:dyDescent="0.25">
      <c r="A185">
        <f t="shared" si="19"/>
        <v>182</v>
      </c>
      <c r="C185" s="218" t="s">
        <v>236</v>
      </c>
      <c r="D185" s="215">
        <f t="shared" ref="D185:D219" si="24">HLOOKUP($D$4,$E$4:$P$221,A185,FALSE)</f>
        <v>1.6540798526717015E-6</v>
      </c>
      <c r="E185" s="260">
        <f t="shared" si="23"/>
        <v>1.6540798526717015E-6</v>
      </c>
      <c r="F185" s="260">
        <f t="shared" si="23"/>
        <v>1.4052328843958576E-6</v>
      </c>
      <c r="G185" s="260">
        <f t="shared" si="23"/>
        <v>1.2504554625592513E-6</v>
      </c>
      <c r="H185" s="260">
        <f t="shared" si="23"/>
        <v>1.0624037271559024E-6</v>
      </c>
      <c r="I185" s="260">
        <f t="shared" si="23"/>
        <v>8.8111263036305345E-7</v>
      </c>
      <c r="J185" s="260">
        <f t="shared" si="23"/>
        <v>7.224958149102949E-7</v>
      </c>
      <c r="K185" s="260">
        <f t="shared" si="23"/>
        <v>5.7996595313595049E-7</v>
      </c>
      <c r="L185" s="260">
        <f t="shared" si="23"/>
        <v>5.4109417265203837E-7</v>
      </c>
      <c r="M185" s="260">
        <f t="shared" si="23"/>
        <v>4.6982924176486611E-7</v>
      </c>
      <c r="N185" s="260">
        <f t="shared" si="23"/>
        <v>3.6293184543410772E-7</v>
      </c>
      <c r="O185" s="260">
        <f t="shared" si="23"/>
        <v>6.5585718491669447E-7</v>
      </c>
      <c r="P185" s="260" t="e">
        <f t="shared" si="23"/>
        <v>#DIV/0!</v>
      </c>
      <c r="Q185" s="216" t="s">
        <v>946</v>
      </c>
    </row>
    <row r="186" spans="1:17" ht="15" customHeight="1" x14ac:dyDescent="0.25">
      <c r="A186">
        <f t="shared" si="19"/>
        <v>183</v>
      </c>
      <c r="C186" s="218" t="s">
        <v>768</v>
      </c>
      <c r="D186" s="215">
        <f t="shared" si="24"/>
        <v>4.8481031784452238E-9</v>
      </c>
      <c r="E186" s="260">
        <f t="shared" si="23"/>
        <v>4.8481031784452238E-9</v>
      </c>
      <c r="F186" s="260">
        <f t="shared" si="23"/>
        <v>4.1186970988350383E-9</v>
      </c>
      <c r="G186" s="260">
        <f t="shared" si="23"/>
        <v>3.6650180654375953E-9</v>
      </c>
      <c r="H186" s="260">
        <f t="shared" si="23"/>
        <v>3.1136748655015181E-9</v>
      </c>
      <c r="I186" s="260">
        <f t="shared" si="23"/>
        <v>2.5822842484830918E-9</v>
      </c>
      <c r="J186" s="260">
        <f t="shared" si="23"/>
        <v>2.117354996353844E-9</v>
      </c>
      <c r="K186" s="260">
        <f t="shared" si="23"/>
        <v>1.699580916355776E-9</v>
      </c>
      <c r="L186" s="260">
        <f t="shared" si="23"/>
        <v>1.5856425309017576E-9</v>
      </c>
      <c r="M186" s="260">
        <f t="shared" si="23"/>
        <v>1.3767554909027236E-9</v>
      </c>
      <c r="N186" s="260">
        <f t="shared" si="23"/>
        <v>1.0634249309041726E-9</v>
      </c>
      <c r="O186" s="260">
        <f t="shared" si="23"/>
        <v>1.922319412105669E-9</v>
      </c>
      <c r="P186" s="260" t="e">
        <f t="shared" si="23"/>
        <v>#DIV/0!</v>
      </c>
      <c r="Q186" s="216" t="s">
        <v>947</v>
      </c>
    </row>
    <row r="187" spans="1:17" ht="15" customHeight="1" x14ac:dyDescent="0.25">
      <c r="A187">
        <f t="shared" si="19"/>
        <v>184</v>
      </c>
      <c r="C187" s="218" t="s">
        <v>769</v>
      </c>
      <c r="D187" s="215">
        <f t="shared" si="24"/>
        <v>1.2121490214572046E-9</v>
      </c>
      <c r="E187" s="260">
        <f t="shared" ref="E187:P208" si="25">SUMIF($B$17:$B$153,$C187,E$17:E$153)</f>
        <v>1.2121490214572046E-9</v>
      </c>
      <c r="F187" s="260">
        <f t="shared" si="25"/>
        <v>1.0297789618480427E-9</v>
      </c>
      <c r="G187" s="260">
        <f t="shared" si="25"/>
        <v>9.1634767209469191E-10</v>
      </c>
      <c r="H187" s="260">
        <f t="shared" si="25"/>
        <v>7.7849785832403595E-10</v>
      </c>
      <c r="I187" s="260">
        <f t="shared" si="25"/>
        <v>6.4563669742832343E-10</v>
      </c>
      <c r="J187" s="260">
        <f t="shared" si="25"/>
        <v>5.2939256703916143E-10</v>
      </c>
      <c r="K187" s="260">
        <f t="shared" si="25"/>
        <v>4.2493842825116546E-10</v>
      </c>
      <c r="L187" s="260">
        <f t="shared" si="25"/>
        <v>3.964509358544393E-10</v>
      </c>
      <c r="M187" s="260">
        <f t="shared" si="25"/>
        <v>3.4422386646044127E-10</v>
      </c>
      <c r="N187" s="260">
        <f t="shared" si="25"/>
        <v>2.658832623694443E-10</v>
      </c>
      <c r="O187" s="260">
        <f t="shared" si="25"/>
        <v>4.8062871365277857E-10</v>
      </c>
      <c r="P187" s="260" t="e">
        <f t="shared" si="25"/>
        <v>#DIV/0!</v>
      </c>
      <c r="Q187" s="216" t="s">
        <v>948</v>
      </c>
    </row>
    <row r="188" spans="1:17" ht="15" customHeight="1" x14ac:dyDescent="0.25">
      <c r="A188">
        <f t="shared" si="19"/>
        <v>185</v>
      </c>
      <c r="C188" s="218" t="s">
        <v>770</v>
      </c>
      <c r="D188" s="215">
        <f t="shared" si="24"/>
        <v>1.3533759689317616E-4</v>
      </c>
      <c r="E188" s="260">
        <f t="shared" si="25"/>
        <v>1.3533759689317616E-4</v>
      </c>
      <c r="F188" s="260">
        <f t="shared" si="25"/>
        <v>1.1497580541715948E-4</v>
      </c>
      <c r="G188" s="260">
        <f t="shared" si="25"/>
        <v>1.0231109349151111E-4</v>
      </c>
      <c r="H188" s="260">
        <f t="shared" si="25"/>
        <v>8.692003001858556E-5</v>
      </c>
      <c r="I188" s="260">
        <f t="shared" si="25"/>
        <v>7.2085954407612347E-5</v>
      </c>
      <c r="J188" s="260">
        <f t="shared" si="25"/>
        <v>5.910718613628751E-5</v>
      </c>
      <c r="K188" s="260">
        <f t="shared" si="25"/>
        <v>4.7444781696840648E-5</v>
      </c>
      <c r="L188" s="260">
        <f t="shared" si="25"/>
        <v>4.4264125940627869E-5</v>
      </c>
      <c r="M188" s="260">
        <f t="shared" si="25"/>
        <v>3.8432923720904434E-5</v>
      </c>
      <c r="N188" s="260">
        <f t="shared" si="25"/>
        <v>2.9686120391319286E-5</v>
      </c>
      <c r="O188" s="260">
        <f t="shared" si="25"/>
        <v>5.3662655294171717E-5</v>
      </c>
      <c r="P188" s="260" t="e">
        <f t="shared" si="25"/>
        <v>#DIV/0!</v>
      </c>
      <c r="Q188" s="216" t="s">
        <v>949</v>
      </c>
    </row>
    <row r="189" spans="1:17" ht="15" customHeight="1" x14ac:dyDescent="0.25">
      <c r="A189">
        <f t="shared" si="19"/>
        <v>186</v>
      </c>
      <c r="C189" s="218" t="s">
        <v>771</v>
      </c>
      <c r="D189" s="215">
        <f t="shared" si="24"/>
        <v>1.4545903439552623E-8</v>
      </c>
      <c r="E189" s="260">
        <f t="shared" si="25"/>
        <v>1.4545903439552623E-8</v>
      </c>
      <c r="F189" s="260">
        <f t="shared" si="25"/>
        <v>1.2357445394888039E-8</v>
      </c>
      <c r="G189" s="260">
        <f t="shared" si="25"/>
        <v>1.0996259139263603E-8</v>
      </c>
      <c r="H189" s="260">
        <f t="shared" si="25"/>
        <v>9.3420482751094992E-9</v>
      </c>
      <c r="I189" s="260">
        <f t="shared" si="25"/>
        <v>7.7477017194916014E-9</v>
      </c>
      <c r="J189" s="260">
        <f t="shared" si="25"/>
        <v>6.3527611089528064E-9</v>
      </c>
      <c r="K189" s="260">
        <f t="shared" si="25"/>
        <v>5.0993015179486654E-9</v>
      </c>
      <c r="L189" s="260">
        <f t="shared" si="25"/>
        <v>4.7574489022202636E-9</v>
      </c>
      <c r="M189" s="260">
        <f t="shared" si="25"/>
        <v>4.1307191067181927E-9</v>
      </c>
      <c r="N189" s="260">
        <f t="shared" si="25"/>
        <v>3.1906244134650868E-9</v>
      </c>
      <c r="O189" s="260">
        <f t="shared" si="25"/>
        <v>5.7675902346273777E-9</v>
      </c>
      <c r="P189" s="260" t="e">
        <f t="shared" si="25"/>
        <v>#DIV/0!</v>
      </c>
      <c r="Q189" s="216" t="s">
        <v>950</v>
      </c>
    </row>
    <row r="190" spans="1:17" ht="15" customHeight="1" x14ac:dyDescent="0.25">
      <c r="A190">
        <f t="shared" si="19"/>
        <v>187</v>
      </c>
      <c r="C190" s="218" t="s">
        <v>237</v>
      </c>
      <c r="D190" s="215">
        <f t="shared" si="24"/>
        <v>5.150540789435069E-5</v>
      </c>
      <c r="E190" s="260">
        <f t="shared" si="25"/>
        <v>5.150540789435069E-5</v>
      </c>
      <c r="F190" s="260">
        <f t="shared" si="25"/>
        <v>4.3756348938818038E-5</v>
      </c>
      <c r="G190" s="260">
        <f t="shared" si="25"/>
        <v>3.893655986212886E-5</v>
      </c>
      <c r="H190" s="260">
        <f t="shared" si="25"/>
        <v>3.3079297261114473E-5</v>
      </c>
      <c r="I190" s="260">
        <f t="shared" si="25"/>
        <v>2.7433913841871359E-5</v>
      </c>
      <c r="J190" s="260">
        <f t="shared" si="25"/>
        <v>2.2494602319078624E-5</v>
      </c>
      <c r="K190" s="260">
        <f t="shared" si="25"/>
        <v>1.8056256195760303E-5</v>
      </c>
      <c r="L190" s="260">
        <f t="shared" si="25"/>
        <v>1.6845798162128034E-5</v>
      </c>
      <c r="M190" s="260">
        <f t="shared" si="25"/>
        <v>1.4626625100468872E-5</v>
      </c>
      <c r="N190" s="260">
        <f t="shared" si="25"/>
        <v>1.1297865507980131E-5</v>
      </c>
      <c r="O190" s="260">
        <f t="shared" si="25"/>
        <v>2.0422385626160648E-5</v>
      </c>
      <c r="P190" s="260" t="e">
        <f t="shared" si="25"/>
        <v>#DIV/0!</v>
      </c>
      <c r="Q190" s="216" t="s">
        <v>951</v>
      </c>
    </row>
    <row r="191" spans="1:17" ht="15" customHeight="1" x14ac:dyDescent="0.25">
      <c r="A191">
        <f t="shared" si="19"/>
        <v>188</v>
      </c>
      <c r="C191" s="218" t="s">
        <v>238</v>
      </c>
      <c r="D191" s="215">
        <f t="shared" si="24"/>
        <v>1.0203273933257675</v>
      </c>
      <c r="E191" s="260">
        <f t="shared" si="25"/>
        <v>1.0203273933257675</v>
      </c>
      <c r="F191" s="260">
        <f t="shared" si="25"/>
        <v>0.8990384845973054</v>
      </c>
      <c r="G191" s="260">
        <f t="shared" si="25"/>
        <v>0.82359870364131593</v>
      </c>
      <c r="H191" s="260">
        <f t="shared" si="25"/>
        <v>0.53265488023606655</v>
      </c>
      <c r="I191" s="260">
        <f t="shared" si="25"/>
        <v>0.44429286921313421</v>
      </c>
      <c r="J191" s="260">
        <f t="shared" si="25"/>
        <v>0.36698235151518299</v>
      </c>
      <c r="K191" s="260">
        <f t="shared" si="25"/>
        <v>0.29751300696970978</v>
      </c>
      <c r="L191" s="260">
        <f t="shared" si="25"/>
        <v>0.27856682209367162</v>
      </c>
      <c r="M191" s="260">
        <f t="shared" si="25"/>
        <v>0.24383214982093501</v>
      </c>
      <c r="N191" s="260">
        <f t="shared" si="25"/>
        <v>0.19173014141183009</v>
      </c>
      <c r="O191" s="260">
        <f t="shared" si="25"/>
        <v>0.32213266909407945</v>
      </c>
      <c r="P191" s="260" t="e">
        <f t="shared" si="25"/>
        <v>#DIV/0!</v>
      </c>
      <c r="Q191" s="216" t="s">
        <v>952</v>
      </c>
    </row>
    <row r="192" spans="1:17" ht="15" customHeight="1" x14ac:dyDescent="0.25">
      <c r="A192">
        <f t="shared" si="19"/>
        <v>189</v>
      </c>
      <c r="C192" s="218" t="s">
        <v>772</v>
      </c>
      <c r="D192" s="215">
        <f t="shared" si="24"/>
        <v>7.2775810388201812E-9</v>
      </c>
      <c r="E192" s="260">
        <f t="shared" si="25"/>
        <v>7.2775810388201812E-9</v>
      </c>
      <c r="F192" s="260">
        <f t="shared" si="25"/>
        <v>6.1826555268855082E-9</v>
      </c>
      <c r="G192" s="260">
        <f t="shared" si="25"/>
        <v>5.5016291935675891E-9</v>
      </c>
      <c r="H192" s="260">
        <f t="shared" si="25"/>
        <v>4.6739972991853373E-9</v>
      </c>
      <c r="I192" s="260">
        <f t="shared" si="25"/>
        <v>3.87631661123833E-9</v>
      </c>
      <c r="J192" s="260">
        <f t="shared" si="25"/>
        <v>3.1784023579418972E-9</v>
      </c>
      <c r="K192" s="260">
        <f t="shared" si="25"/>
        <v>2.55127364157668E-9</v>
      </c>
      <c r="L192" s="260">
        <f t="shared" si="25"/>
        <v>2.3802385371134388E-9</v>
      </c>
      <c r="M192" s="260">
        <f t="shared" si="25"/>
        <v>2.06667417893083E-9</v>
      </c>
      <c r="N192" s="260">
        <f t="shared" si="25"/>
        <v>1.596327641656917E-9</v>
      </c>
      <c r="O192" s="260">
        <f t="shared" si="25"/>
        <v>2.8856306867179095E-9</v>
      </c>
      <c r="P192" s="260" t="e">
        <f t="shared" si="25"/>
        <v>#DIV/0!</v>
      </c>
      <c r="Q192" s="216" t="s">
        <v>953</v>
      </c>
    </row>
    <row r="193" spans="1:17" ht="15" customHeight="1" x14ac:dyDescent="0.25">
      <c r="A193">
        <f t="shared" si="19"/>
        <v>190</v>
      </c>
      <c r="C193" s="218" t="s">
        <v>239</v>
      </c>
      <c r="D193" s="215">
        <f t="shared" si="24"/>
        <v>1.1951388616587626E-6</v>
      </c>
      <c r="E193" s="260">
        <f t="shared" si="25"/>
        <v>1.1951388616587626E-6</v>
      </c>
      <c r="F193" s="260">
        <f t="shared" si="25"/>
        <v>1.0377343601059642E-6</v>
      </c>
      <c r="G193" s="260">
        <f t="shared" si="25"/>
        <v>9.3983125220337595E-7</v>
      </c>
      <c r="H193" s="260">
        <f t="shared" si="25"/>
        <v>6.7193297746840113E-7</v>
      </c>
      <c r="I193" s="260">
        <f t="shared" si="25"/>
        <v>5.5725985156530936E-7</v>
      </c>
      <c r="J193" s="260">
        <f t="shared" si="25"/>
        <v>4.5692896698064828E-7</v>
      </c>
      <c r="K193" s="260">
        <f t="shared" si="25"/>
        <v>3.6677408253148319E-7</v>
      </c>
      <c r="L193" s="260">
        <f t="shared" si="25"/>
        <v>3.4218638677261998E-7</v>
      </c>
      <c r="M193" s="260">
        <f t="shared" si="25"/>
        <v>2.9710894454803744E-7</v>
      </c>
      <c r="N193" s="260">
        <f t="shared" si="25"/>
        <v>2.2949278121116362E-7</v>
      </c>
      <c r="O193" s="260">
        <f t="shared" si="25"/>
        <v>4.1492083843438796E-7</v>
      </c>
      <c r="P193" s="260" t="e">
        <f t="shared" si="25"/>
        <v>#DIV/0!</v>
      </c>
      <c r="Q193" s="216" t="s">
        <v>954</v>
      </c>
    </row>
    <row r="194" spans="1:17" ht="15" customHeight="1" x14ac:dyDescent="0.25">
      <c r="A194">
        <f t="shared" si="19"/>
        <v>191</v>
      </c>
      <c r="C194" s="218" t="s">
        <v>241</v>
      </c>
      <c r="D194" s="215">
        <f t="shared" si="24"/>
        <v>2.8440245956187147E-4</v>
      </c>
      <c r="E194" s="260">
        <f t="shared" si="25"/>
        <v>2.8440245956187147E-4</v>
      </c>
      <c r="F194" s="260">
        <f t="shared" si="25"/>
        <v>2.491037755538441E-4</v>
      </c>
      <c r="G194" s="260">
        <f t="shared" si="25"/>
        <v>2.2723909709353445E-4</v>
      </c>
      <c r="H194" s="260">
        <f t="shared" si="25"/>
        <v>1.617843372646734E-4</v>
      </c>
      <c r="I194" s="260">
        <f t="shared" si="25"/>
        <v>1.360780176918948E-4</v>
      </c>
      <c r="J194" s="260">
        <f t="shared" si="25"/>
        <v>1.1359224342639102E-4</v>
      </c>
      <c r="K194" s="260">
        <f t="shared" si="25"/>
        <v>9.3346013364831238E-5</v>
      </c>
      <c r="L194" s="260">
        <f t="shared" si="25"/>
        <v>8.7824314257133125E-5</v>
      </c>
      <c r="M194" s="260">
        <f t="shared" si="25"/>
        <v>7.7701199226353236E-5</v>
      </c>
      <c r="N194" s="260">
        <f t="shared" si="25"/>
        <v>6.2516526680183389E-5</v>
      </c>
      <c r="O194" s="260">
        <f t="shared" si="25"/>
        <v>1.0737913736067606E-4</v>
      </c>
      <c r="P194" s="260" t="e">
        <f t="shared" si="25"/>
        <v>#DIV/0!</v>
      </c>
      <c r="Q194" s="216" t="s">
        <v>955</v>
      </c>
    </row>
    <row r="195" spans="1:17" ht="15" customHeight="1" x14ac:dyDescent="0.25">
      <c r="A195">
        <f t="shared" si="19"/>
        <v>192</v>
      </c>
      <c r="C195" s="218" t="s">
        <v>242</v>
      </c>
      <c r="D195" s="215">
        <f t="shared" si="24"/>
        <v>1.6099187235994913E-5</v>
      </c>
      <c r="E195" s="260">
        <f t="shared" si="25"/>
        <v>1.6099187235994913E-5</v>
      </c>
      <c r="F195" s="260">
        <f t="shared" si="25"/>
        <v>1.3678971091693693E-5</v>
      </c>
      <c r="G195" s="260">
        <f t="shared" si="25"/>
        <v>1.217382401852763E-5</v>
      </c>
      <c r="H195" s="260">
        <f t="shared" si="25"/>
        <v>1.0351056698255558E-5</v>
      </c>
      <c r="I195" s="260">
        <f t="shared" si="25"/>
        <v>8.5878892252266175E-6</v>
      </c>
      <c r="J195" s="260">
        <f t="shared" si="25"/>
        <v>7.0452536546775839E-6</v>
      </c>
      <c r="K195" s="260">
        <f t="shared" si="25"/>
        <v>5.6589927899117915E-6</v>
      </c>
      <c r="L195" s="260">
        <f t="shared" si="25"/>
        <v>5.2809216449756658E-6</v>
      </c>
      <c r="M195" s="260">
        <f t="shared" si="25"/>
        <v>4.5877912125927691E-6</v>
      </c>
      <c r="N195" s="260">
        <f t="shared" si="25"/>
        <v>3.5480955640184238E-6</v>
      </c>
      <c r="O195" s="260">
        <f t="shared" si="25"/>
        <v>6.3824582264404302E-6</v>
      </c>
      <c r="P195" s="260" t="e">
        <f t="shared" si="25"/>
        <v>#DIV/0!</v>
      </c>
      <c r="Q195" s="216" t="s">
        <v>956</v>
      </c>
    </row>
    <row r="196" spans="1:17" ht="15" customHeight="1" x14ac:dyDescent="0.25">
      <c r="A196">
        <f t="shared" ref="A196:A219" si="26">A195+1</f>
        <v>193</v>
      </c>
      <c r="C196" s="218" t="s">
        <v>243</v>
      </c>
      <c r="D196" s="215">
        <f t="shared" si="24"/>
        <v>1.3419830637071923E-8</v>
      </c>
      <c r="E196" s="260">
        <f t="shared" si="25"/>
        <v>1.3419830637071923E-8</v>
      </c>
      <c r="F196" s="260">
        <f t="shared" si="25"/>
        <v>1.1404147098978104E-8</v>
      </c>
      <c r="G196" s="260">
        <f t="shared" si="25"/>
        <v>1.0150454443495861E-8</v>
      </c>
      <c r="H196" s="260">
        <f t="shared" si="25"/>
        <v>8.6149725044762606E-9</v>
      </c>
      <c r="I196" s="260">
        <f t="shared" si="25"/>
        <v>7.1464998533319774E-9</v>
      </c>
      <c r="J196" s="260">
        <f t="shared" si="25"/>
        <v>5.861691864912063E-9</v>
      </c>
      <c r="K196" s="260">
        <f t="shared" si="25"/>
        <v>4.7071808137425059E-9</v>
      </c>
      <c r="L196" s="260">
        <f t="shared" si="25"/>
        <v>4.3923141634235364E-9</v>
      </c>
      <c r="M196" s="260">
        <f t="shared" si="25"/>
        <v>3.815058637838757E-9</v>
      </c>
      <c r="N196" s="260">
        <f t="shared" si="25"/>
        <v>2.9491753494615891E-9</v>
      </c>
      <c r="O196" s="260">
        <f t="shared" si="25"/>
        <v>5.3221308961758489E-9</v>
      </c>
      <c r="P196" s="260" t="e">
        <f t="shared" si="25"/>
        <v>#DIV/0!</v>
      </c>
      <c r="Q196" s="216" t="s">
        <v>957</v>
      </c>
    </row>
    <row r="197" spans="1:17" ht="15" customHeight="1" x14ac:dyDescent="0.25">
      <c r="A197">
        <f t="shared" si="26"/>
        <v>194</v>
      </c>
      <c r="C197" s="218" t="s">
        <v>244</v>
      </c>
      <c r="D197" s="215">
        <f t="shared" si="24"/>
        <v>8.5677994402339378E-6</v>
      </c>
      <c r="E197" s="260">
        <f t="shared" si="25"/>
        <v>8.5677994402339378E-6</v>
      </c>
      <c r="F197" s="260">
        <f t="shared" si="25"/>
        <v>7.334612884521418E-6</v>
      </c>
      <c r="G197" s="260">
        <f t="shared" si="25"/>
        <v>6.569166316962248E-6</v>
      </c>
      <c r="H197" s="260">
        <f t="shared" si="25"/>
        <v>5.4159811622900617E-6</v>
      </c>
      <c r="I197" s="260">
        <f t="shared" si="25"/>
        <v>4.517742666205737E-6</v>
      </c>
      <c r="J197" s="260">
        <f t="shared" si="25"/>
        <v>3.7319421981108179E-6</v>
      </c>
      <c r="K197" s="260">
        <f t="shared" si="25"/>
        <v>3.0251257079602764E-6</v>
      </c>
      <c r="L197" s="260">
        <f t="shared" si="25"/>
        <v>2.8323575742828563E-6</v>
      </c>
      <c r="M197" s="260">
        <f t="shared" si="25"/>
        <v>2.4789493292075851E-6</v>
      </c>
      <c r="N197" s="260">
        <f t="shared" si="25"/>
        <v>1.9488369615946786E-6</v>
      </c>
      <c r="O197" s="260">
        <f t="shared" si="25"/>
        <v>3.4825519404966968E-6</v>
      </c>
      <c r="P197" s="260" t="e">
        <f t="shared" si="25"/>
        <v>#DIV/0!</v>
      </c>
      <c r="Q197" s="216" t="s">
        <v>958</v>
      </c>
    </row>
    <row r="198" spans="1:17" ht="15" customHeight="1" x14ac:dyDescent="0.25">
      <c r="A198">
        <f t="shared" si="26"/>
        <v>195</v>
      </c>
      <c r="C198" s="218" t="s">
        <v>245</v>
      </c>
      <c r="D198" s="215">
        <f t="shared" si="24"/>
        <v>5.2834826698880443E-4</v>
      </c>
      <c r="E198" s="260">
        <f t="shared" si="25"/>
        <v>5.2834826698880443E-4</v>
      </c>
      <c r="F198" s="260">
        <f t="shared" si="25"/>
        <v>4.544396779688615E-4</v>
      </c>
      <c r="G198" s="260">
        <f t="shared" si="25"/>
        <v>4.0872691723605706E-4</v>
      </c>
      <c r="H198" s="260">
        <f t="shared" si="25"/>
        <v>3.3938073107899852E-4</v>
      </c>
      <c r="I198" s="260">
        <f t="shared" si="25"/>
        <v>2.8556396475086737E-4</v>
      </c>
      <c r="J198" s="260">
        <f t="shared" si="25"/>
        <v>2.3849355516022313E-4</v>
      </c>
      <c r="K198" s="260">
        <f t="shared" si="25"/>
        <v>1.9608053260986952E-4</v>
      </c>
      <c r="L198" s="260">
        <f t="shared" si="25"/>
        <v>1.8451334464159128E-4</v>
      </c>
      <c r="M198" s="260">
        <f t="shared" si="25"/>
        <v>1.6330683336641445E-4</v>
      </c>
      <c r="N198" s="260">
        <f t="shared" si="25"/>
        <v>1.3149706645364923E-4</v>
      </c>
      <c r="O198" s="260">
        <f t="shared" si="25"/>
        <v>2.2083709530400914E-4</v>
      </c>
      <c r="P198" s="260" t="e">
        <f t="shared" si="25"/>
        <v>#DIV/0!</v>
      </c>
      <c r="Q198" s="216" t="s">
        <v>959</v>
      </c>
    </row>
    <row r="199" spans="1:17" ht="15" customHeight="1" x14ac:dyDescent="0.25">
      <c r="A199">
        <f t="shared" si="26"/>
        <v>196</v>
      </c>
      <c r="C199" s="218" t="s">
        <v>246</v>
      </c>
      <c r="D199" s="215">
        <f t="shared" si="24"/>
        <v>7.049540137179848E-4</v>
      </c>
      <c r="E199" s="260">
        <f t="shared" si="25"/>
        <v>7.049540137179848E-4</v>
      </c>
      <c r="F199" s="260">
        <f t="shared" si="25"/>
        <v>6.1581655921901575E-4</v>
      </c>
      <c r="G199" s="260">
        <f t="shared" si="25"/>
        <v>5.6490135934676017E-4</v>
      </c>
      <c r="H199" s="260">
        <f t="shared" si="25"/>
        <v>4.980662435934434E-4</v>
      </c>
      <c r="I199" s="260">
        <f t="shared" si="25"/>
        <v>4.3363123332824873E-4</v>
      </c>
      <c r="J199" s="260">
        <f t="shared" si="25"/>
        <v>3.7752959359002689E-4</v>
      </c>
      <c r="K199" s="260">
        <f t="shared" si="25"/>
        <v>3.2504628130394797E-4</v>
      </c>
      <c r="L199" s="260">
        <f t="shared" si="25"/>
        <v>3.1073265068047183E-4</v>
      </c>
      <c r="M199" s="260">
        <f t="shared" si="25"/>
        <v>2.8449099453743232E-4</v>
      </c>
      <c r="N199" s="260">
        <f t="shared" si="25"/>
        <v>2.451285103228731E-4</v>
      </c>
      <c r="O199" s="260">
        <f t="shared" si="25"/>
        <v>3.549484150327786E-4</v>
      </c>
      <c r="P199" s="260" t="e">
        <f t="shared" si="25"/>
        <v>#DIV/0!</v>
      </c>
      <c r="Q199" s="216" t="s">
        <v>960</v>
      </c>
    </row>
    <row r="200" spans="1:17" ht="15" customHeight="1" x14ac:dyDescent="0.25">
      <c r="A200">
        <f t="shared" si="26"/>
        <v>197</v>
      </c>
      <c r="C200" s="218" t="s">
        <v>773</v>
      </c>
      <c r="D200" s="215">
        <f t="shared" si="24"/>
        <v>2.8403049665019173E-4</v>
      </c>
      <c r="E200" s="260">
        <f t="shared" si="25"/>
        <v>2.8403049665019173E-4</v>
      </c>
      <c r="F200" s="260">
        <f t="shared" si="25"/>
        <v>2.4129758370963211E-4</v>
      </c>
      <c r="G200" s="260">
        <f t="shared" si="25"/>
        <v>2.1471838841763348E-4</v>
      </c>
      <c r="H200" s="260">
        <f t="shared" si="25"/>
        <v>1.8241744985700436E-4</v>
      </c>
      <c r="I200" s="260">
        <f t="shared" si="25"/>
        <v>1.5128545135952213E-4</v>
      </c>
      <c r="J200" s="260">
        <f t="shared" si="25"/>
        <v>1.2404715185785562E-4</v>
      </c>
      <c r="K200" s="260">
        <f t="shared" si="25"/>
        <v>9.9571480639265271E-5</v>
      </c>
      <c r="L200" s="260">
        <f t="shared" si="25"/>
        <v>9.2896297579649723E-5</v>
      </c>
      <c r="M200" s="260">
        <f t="shared" si="25"/>
        <v>8.0658461970354548E-5</v>
      </c>
      <c r="N200" s="260">
        <f t="shared" si="25"/>
        <v>6.2301708556411785E-5</v>
      </c>
      <c r="O200" s="260">
        <f t="shared" si="25"/>
        <v>1.1262081627474311E-4</v>
      </c>
      <c r="P200" s="260" t="e">
        <f t="shared" si="25"/>
        <v>#DIV/0!</v>
      </c>
      <c r="Q200" s="216" t="s">
        <v>961</v>
      </c>
    </row>
    <row r="201" spans="1:17" ht="15" customHeight="1" x14ac:dyDescent="0.25">
      <c r="A201">
        <f t="shared" si="26"/>
        <v>198</v>
      </c>
      <c r="C201" s="218" t="s">
        <v>514</v>
      </c>
      <c r="D201" s="215">
        <f t="shared" si="24"/>
        <v>6.6638318284737662E-6</v>
      </c>
      <c r="E201" s="260">
        <f t="shared" si="25"/>
        <v>6.6638318284737662E-6</v>
      </c>
      <c r="F201" s="260">
        <f t="shared" si="25"/>
        <v>6.347907972391089E-6</v>
      </c>
      <c r="G201" s="260">
        <f t="shared" si="25"/>
        <v>6.1688320482614709E-6</v>
      </c>
      <c r="H201" s="260">
        <f t="shared" si="25"/>
        <v>2.9180204290248055E-6</v>
      </c>
      <c r="I201" s="260">
        <f t="shared" si="25"/>
        <v>2.6897208868033248E-6</v>
      </c>
      <c r="J201" s="260">
        <f t="shared" si="25"/>
        <v>2.4910217203713905E-6</v>
      </c>
      <c r="K201" s="260">
        <f t="shared" si="25"/>
        <v>2.3045732325924803E-6</v>
      </c>
      <c r="L201" s="260">
        <f t="shared" si="25"/>
        <v>2.253723645016414E-6</v>
      </c>
      <c r="M201" s="260">
        <f t="shared" si="25"/>
        <v>2.160499401126959E-6</v>
      </c>
      <c r="N201" s="260">
        <f t="shared" si="25"/>
        <v>2.0206630352927768E-6</v>
      </c>
      <c r="O201" s="260">
        <f t="shared" si="25"/>
        <v>2.5366795969142203E-6</v>
      </c>
      <c r="P201" s="260" t="e">
        <f t="shared" si="25"/>
        <v>#DIV/0!</v>
      </c>
      <c r="Q201" s="216" t="s">
        <v>962</v>
      </c>
    </row>
    <row r="202" spans="1:17" ht="15" customHeight="1" x14ac:dyDescent="0.25">
      <c r="A202">
        <f t="shared" si="26"/>
        <v>199</v>
      </c>
      <c r="C202" s="218" t="s">
        <v>516</v>
      </c>
      <c r="D202" s="215">
        <f t="shared" si="24"/>
        <v>4.1133556469074829E-2</v>
      </c>
      <c r="E202" s="260">
        <f t="shared" si="25"/>
        <v>4.1133556469074829E-2</v>
      </c>
      <c r="F202" s="260">
        <f t="shared" si="25"/>
        <v>3.9852387927425147E-2</v>
      </c>
      <c r="G202" s="260">
        <f t="shared" si="25"/>
        <v>3.9055524240686285E-2</v>
      </c>
      <c r="H202" s="260">
        <f t="shared" si="25"/>
        <v>1.5958386078278233E-2</v>
      </c>
      <c r="I202" s="260">
        <f t="shared" si="25"/>
        <v>1.5025022986486994E-2</v>
      </c>
      <c r="J202" s="260">
        <f t="shared" si="25"/>
        <v>1.4208396387373859E-2</v>
      </c>
      <c r="K202" s="260">
        <f t="shared" si="25"/>
        <v>1.3474594349177058E-2</v>
      </c>
      <c r="L202" s="260">
        <f t="shared" si="25"/>
        <v>1.3274466520577932E-2</v>
      </c>
      <c r="M202" s="260">
        <f t="shared" si="25"/>
        <v>1.2907565501479531E-2</v>
      </c>
      <c r="N202" s="260">
        <f t="shared" si="25"/>
        <v>1.235721397283193E-2</v>
      </c>
      <c r="O202" s="260">
        <f t="shared" si="25"/>
        <v>3.1422631376845714E-2</v>
      </c>
      <c r="P202" s="260" t="e">
        <f t="shared" si="25"/>
        <v>#DIV/0!</v>
      </c>
      <c r="Q202" s="216" t="s">
        <v>963</v>
      </c>
    </row>
    <row r="203" spans="1:17" ht="15" customHeight="1" x14ac:dyDescent="0.25">
      <c r="A203">
        <f t="shared" si="26"/>
        <v>200</v>
      </c>
      <c r="C203" s="218" t="s">
        <v>307</v>
      </c>
      <c r="D203" s="215">
        <f t="shared" si="24"/>
        <v>5.1447831139022238E-12</v>
      </c>
      <c r="E203" s="260">
        <f>SUMIF($B$17:$B$153,$C203,E$17:E$153)</f>
        <v>5.1447831139022238E-12</v>
      </c>
      <c r="F203" s="260">
        <f t="shared" si="25"/>
        <v>5.1981603102929653E-12</v>
      </c>
      <c r="G203" s="260">
        <f t="shared" si="25"/>
        <v>5.3282083679847239E-12</v>
      </c>
      <c r="H203" s="260">
        <f t="shared" si="25"/>
        <v>8.4864986118936417E-12</v>
      </c>
      <c r="I203" s="260">
        <f t="shared" si="25"/>
        <v>8.5359726617264294E-12</v>
      </c>
      <c r="J203" s="260">
        <f t="shared" si="25"/>
        <v>8.5851076712475115E-12</v>
      </c>
      <c r="K203" s="260">
        <f t="shared" si="25"/>
        <v>8.5851076712475115E-12</v>
      </c>
      <c r="L203" s="260">
        <f t="shared" si="25"/>
        <v>8.5851076712475115E-12</v>
      </c>
      <c r="M203" s="260">
        <f t="shared" si="25"/>
        <v>8.5851076712475115E-12</v>
      </c>
      <c r="N203" s="260">
        <f t="shared" si="25"/>
        <v>8.5851076712475115E-12</v>
      </c>
      <c r="O203" s="260">
        <f t="shared" si="25"/>
        <v>1.9487226418719905E-12</v>
      </c>
      <c r="P203" s="260" t="e">
        <f t="shared" si="25"/>
        <v>#N/A</v>
      </c>
      <c r="Q203" s="216" t="s">
        <v>964</v>
      </c>
    </row>
    <row r="204" spans="1:17" ht="15" customHeight="1" x14ac:dyDescent="0.25">
      <c r="A204">
        <f t="shared" si="26"/>
        <v>201</v>
      </c>
      <c r="C204" s="218" t="s">
        <v>308</v>
      </c>
      <c r="D204" s="215">
        <f t="shared" si="24"/>
        <v>5.1447831139022238E-12</v>
      </c>
      <c r="E204" s="260">
        <f t="shared" si="25"/>
        <v>5.1447831139022238E-12</v>
      </c>
      <c r="F204" s="260">
        <f t="shared" si="25"/>
        <v>5.1981603102929653E-12</v>
      </c>
      <c r="G204" s="260">
        <f t="shared" si="25"/>
        <v>5.3282083679847239E-12</v>
      </c>
      <c r="H204" s="260">
        <f t="shared" si="25"/>
        <v>8.4864986118936417E-12</v>
      </c>
      <c r="I204" s="260">
        <f t="shared" si="25"/>
        <v>8.5359726617264294E-12</v>
      </c>
      <c r="J204" s="260">
        <f t="shared" si="25"/>
        <v>8.5851076712475115E-12</v>
      </c>
      <c r="K204" s="260">
        <f t="shared" si="25"/>
        <v>8.5851076712475115E-12</v>
      </c>
      <c r="L204" s="260">
        <f t="shared" si="25"/>
        <v>8.5851076712475115E-12</v>
      </c>
      <c r="M204" s="260">
        <f t="shared" si="25"/>
        <v>8.5851076712475115E-12</v>
      </c>
      <c r="N204" s="260">
        <f t="shared" si="25"/>
        <v>8.5851076712475115E-12</v>
      </c>
      <c r="O204" s="260">
        <f t="shared" si="25"/>
        <v>1.9487226418719905E-12</v>
      </c>
      <c r="P204" s="260" t="e">
        <f t="shared" si="25"/>
        <v>#N/A</v>
      </c>
      <c r="Q204" s="216" t="s">
        <v>965</v>
      </c>
    </row>
    <row r="205" spans="1:17" ht="15" customHeight="1" x14ac:dyDescent="0.25">
      <c r="A205">
        <f t="shared" si="26"/>
        <v>202</v>
      </c>
      <c r="C205" s="218" t="s">
        <v>309</v>
      </c>
      <c r="D205" s="215">
        <f t="shared" si="24"/>
        <v>1.7207501826350396E-10</v>
      </c>
      <c r="E205" s="260">
        <f t="shared" si="25"/>
        <v>1.7207501826350396E-10</v>
      </c>
      <c r="F205" s="260">
        <f t="shared" si="25"/>
        <v>1.7227192911667578E-10</v>
      </c>
      <c r="G205" s="260">
        <f t="shared" si="25"/>
        <v>1.727516821896165E-10</v>
      </c>
      <c r="H205" s="260">
        <f t="shared" si="25"/>
        <v>1.7159699201502445E-10</v>
      </c>
      <c r="I205" s="260">
        <f t="shared" si="25"/>
        <v>1.7177950649885845E-10</v>
      </c>
      <c r="J205" s="260">
        <f t="shared" si="25"/>
        <v>1.7196077023067804E-10</v>
      </c>
      <c r="K205" s="260">
        <f t="shared" si="25"/>
        <v>1.7196077023067804E-10</v>
      </c>
      <c r="L205" s="260">
        <f t="shared" si="25"/>
        <v>1.7196077023067804E-10</v>
      </c>
      <c r="M205" s="260">
        <f t="shared" si="25"/>
        <v>1.7196077023067804E-10</v>
      </c>
      <c r="N205" s="260">
        <f t="shared" si="25"/>
        <v>1.7196077023067804E-10</v>
      </c>
      <c r="O205" s="260">
        <f t="shared" si="25"/>
        <v>1.5757387814350951E-10</v>
      </c>
      <c r="P205" s="260" t="e">
        <f t="shared" si="25"/>
        <v>#N/A</v>
      </c>
      <c r="Q205" s="216" t="s">
        <v>966</v>
      </c>
    </row>
    <row r="206" spans="1:17" ht="15" customHeight="1" x14ac:dyDescent="0.25">
      <c r="A206">
        <f t="shared" si="26"/>
        <v>203</v>
      </c>
      <c r="C206" s="218" t="s">
        <v>310</v>
      </c>
      <c r="D206" s="215">
        <f t="shared" si="24"/>
        <v>1.8795392519442426E-11</v>
      </c>
      <c r="E206" s="260">
        <f t="shared" si="25"/>
        <v>1.8795392519442426E-11</v>
      </c>
      <c r="F206" s="260">
        <f t="shared" si="25"/>
        <v>1.879953660529942E-11</v>
      </c>
      <c r="G206" s="260">
        <f t="shared" si="25"/>
        <v>1.8809633244933028E-11</v>
      </c>
      <c r="H206" s="260">
        <f t="shared" si="25"/>
        <v>2.2516750809778708E-11</v>
      </c>
      <c r="I206" s="260">
        <f t="shared" si="25"/>
        <v>2.252059186968118E-11</v>
      </c>
      <c r="J206" s="260">
        <f t="shared" si="25"/>
        <v>2.2524406607215643E-11</v>
      </c>
      <c r="K206" s="260">
        <f t="shared" si="25"/>
        <v>2.2524406607215643E-11</v>
      </c>
      <c r="L206" s="260">
        <f t="shared" si="25"/>
        <v>2.2524406607215643E-11</v>
      </c>
      <c r="M206" s="260">
        <f t="shared" si="25"/>
        <v>2.2524406607215643E-11</v>
      </c>
      <c r="N206" s="260">
        <f t="shared" si="25"/>
        <v>2.2524406607215643E-11</v>
      </c>
      <c r="O206" s="260">
        <f t="shared" si="25"/>
        <v>1.2829671561679454E-11</v>
      </c>
      <c r="P206" s="260" t="e">
        <f t="shared" si="25"/>
        <v>#N/A</v>
      </c>
      <c r="Q206" s="216" t="s">
        <v>967</v>
      </c>
    </row>
    <row r="207" spans="1:17" ht="15" customHeight="1" x14ac:dyDescent="0.25">
      <c r="A207">
        <f t="shared" si="26"/>
        <v>204</v>
      </c>
      <c r="C207" s="218" t="s">
        <v>311</v>
      </c>
      <c r="D207" s="215">
        <f t="shared" si="24"/>
        <v>8.5778627582825969E-11</v>
      </c>
      <c r="E207" s="260">
        <f t="shared" si="25"/>
        <v>8.5778627582825969E-11</v>
      </c>
      <c r="F207" s="260">
        <f t="shared" si="25"/>
        <v>8.5837942446199329E-11</v>
      </c>
      <c r="G207" s="260">
        <f t="shared" si="25"/>
        <v>8.5982457019754094E-11</v>
      </c>
      <c r="H207" s="260">
        <f t="shared" si="25"/>
        <v>3.2417122414966556E-11</v>
      </c>
      <c r="I207" s="260">
        <f t="shared" si="25"/>
        <v>3.2472100311574001E-11</v>
      </c>
      <c r="J207" s="260">
        <f t="shared" si="25"/>
        <v>3.252670145060316E-11</v>
      </c>
      <c r="K207" s="260">
        <f t="shared" si="25"/>
        <v>3.252670145060316E-11</v>
      </c>
      <c r="L207" s="260">
        <f t="shared" si="25"/>
        <v>3.252670145060316E-11</v>
      </c>
      <c r="M207" s="260">
        <f t="shared" si="25"/>
        <v>3.252670145060316E-11</v>
      </c>
      <c r="N207" s="260">
        <f t="shared" si="25"/>
        <v>3.252670145060316E-11</v>
      </c>
      <c r="O207" s="260">
        <f t="shared" si="25"/>
        <v>4.2505893957267906E-11</v>
      </c>
      <c r="P207" s="260" t="e">
        <f t="shared" si="25"/>
        <v>#N/A</v>
      </c>
      <c r="Q207" s="216" t="s">
        <v>968</v>
      </c>
    </row>
    <row r="208" spans="1:17" ht="15" customHeight="1" x14ac:dyDescent="0.25">
      <c r="A208">
        <f t="shared" si="26"/>
        <v>205</v>
      </c>
      <c r="C208" s="218" t="s">
        <v>312</v>
      </c>
      <c r="D208" s="215">
        <f t="shared" si="24"/>
        <v>6.2757299502705133E-10</v>
      </c>
      <c r="E208" s="260">
        <f t="shared" si="25"/>
        <v>6.2757299502705133E-10</v>
      </c>
      <c r="F208" s="260">
        <f t="shared" si="25"/>
        <v>6.2769892580930708E-10</v>
      </c>
      <c r="G208" s="260">
        <f t="shared" si="25"/>
        <v>6.2800574322841762E-10</v>
      </c>
      <c r="H208" s="260">
        <f t="shared" ref="F208:P219" si="27">SUMIF($B$17:$B$153,$C208,H$17:H$153)</f>
        <v>5.5543597867417194E-10</v>
      </c>
      <c r="I208" s="260">
        <f t="shared" si="27"/>
        <v>5.5555270180873757E-10</v>
      </c>
      <c r="J208" s="260">
        <f t="shared" si="27"/>
        <v>5.5566862505228845E-10</v>
      </c>
      <c r="K208" s="260">
        <f t="shared" si="27"/>
        <v>5.5566862505228845E-10</v>
      </c>
      <c r="L208" s="260">
        <f t="shared" si="27"/>
        <v>5.5566862505228845E-10</v>
      </c>
      <c r="M208" s="260">
        <f t="shared" si="27"/>
        <v>5.5566862505228845E-10</v>
      </c>
      <c r="N208" s="260">
        <f t="shared" si="27"/>
        <v>5.5566862505228845E-10</v>
      </c>
      <c r="O208" s="260">
        <f t="shared" si="27"/>
        <v>5.8088760991847561E-10</v>
      </c>
      <c r="P208" s="260" t="e">
        <f t="shared" si="27"/>
        <v>#N/A</v>
      </c>
      <c r="Q208" s="216" t="s">
        <v>969</v>
      </c>
    </row>
    <row r="209" spans="1:17" ht="15" customHeight="1" x14ac:dyDescent="0.25">
      <c r="A209">
        <f t="shared" si="26"/>
        <v>206</v>
      </c>
      <c r="C209" s="218" t="s">
        <v>313</v>
      </c>
      <c r="D209" s="215">
        <f t="shared" si="24"/>
        <v>3.2530076560651233E-11</v>
      </c>
      <c r="E209" s="260">
        <f t="shared" ref="E209:E219" si="28">SUMIF($B$17:$B$153,$C209,E$17:E$153)</f>
        <v>3.2530076560651233E-11</v>
      </c>
      <c r="F209" s="260">
        <f t="shared" si="27"/>
        <v>3.3427317765272021E-11</v>
      </c>
      <c r="G209" s="260">
        <f t="shared" si="27"/>
        <v>3.5613353822463431E-11</v>
      </c>
      <c r="H209" s="260">
        <f t="shared" si="27"/>
        <v>3.1273048459916228E-11</v>
      </c>
      <c r="I209" s="260">
        <f t="shared" si="27"/>
        <v>3.2104678393107198E-11</v>
      </c>
      <c r="J209" s="260">
        <f t="shared" si="27"/>
        <v>3.2930609256326604E-11</v>
      </c>
      <c r="K209" s="260">
        <f t="shared" si="27"/>
        <v>3.2930609256326604E-11</v>
      </c>
      <c r="L209" s="260">
        <f t="shared" si="27"/>
        <v>3.2930609256326604E-11</v>
      </c>
      <c r="M209" s="260">
        <f t="shared" si="27"/>
        <v>3.2930609256326604E-11</v>
      </c>
      <c r="N209" s="260">
        <f t="shared" si="27"/>
        <v>3.2930609256326604E-11</v>
      </c>
      <c r="O209" s="260">
        <f t="shared" si="27"/>
        <v>3.5736729427249135E-11</v>
      </c>
      <c r="P209" s="260" t="e">
        <f t="shared" si="27"/>
        <v>#N/A</v>
      </c>
      <c r="Q209" s="216" t="s">
        <v>970</v>
      </c>
    </row>
    <row r="210" spans="1:17" ht="15" customHeight="1" x14ac:dyDescent="0.25">
      <c r="A210">
        <f t="shared" si="26"/>
        <v>207</v>
      </c>
      <c r="C210" s="218" t="s">
        <v>314</v>
      </c>
      <c r="D210" s="215">
        <f t="shared" si="24"/>
        <v>1.0686695278969958E-11</v>
      </c>
      <c r="E210" s="260">
        <f t="shared" si="28"/>
        <v>1.0686695278969958E-11</v>
      </c>
      <c r="F210" s="260">
        <f t="shared" si="27"/>
        <v>1.0686695278969958E-11</v>
      </c>
      <c r="G210" s="260">
        <f t="shared" si="27"/>
        <v>1.0686695278969958E-11</v>
      </c>
      <c r="H210" s="260">
        <f t="shared" si="27"/>
        <v>1.8581039755351677E-11</v>
      </c>
      <c r="I210" s="260">
        <f t="shared" si="27"/>
        <v>1.8581039755351677E-11</v>
      </c>
      <c r="J210" s="260">
        <f t="shared" si="27"/>
        <v>1.8581039755351677E-11</v>
      </c>
      <c r="K210" s="260">
        <f t="shared" si="27"/>
        <v>1.8581039755351677E-11</v>
      </c>
      <c r="L210" s="260">
        <f t="shared" si="27"/>
        <v>1.8581039755351677E-11</v>
      </c>
      <c r="M210" s="260">
        <f t="shared" si="27"/>
        <v>1.8581039755351677E-11</v>
      </c>
      <c r="N210" s="260">
        <f t="shared" si="27"/>
        <v>1.8581039755351677E-11</v>
      </c>
      <c r="O210" s="260">
        <f t="shared" si="27"/>
        <v>0</v>
      </c>
      <c r="P210" s="260" t="e">
        <f t="shared" si="27"/>
        <v>#N/A</v>
      </c>
      <c r="Q210" s="216" t="s">
        <v>971</v>
      </c>
    </row>
    <row r="211" spans="1:17" ht="15" customHeight="1" x14ac:dyDescent="0.25">
      <c r="A211">
        <f t="shared" si="26"/>
        <v>208</v>
      </c>
      <c r="C211" s="218" t="s">
        <v>315</v>
      </c>
      <c r="D211" s="215">
        <f t="shared" si="24"/>
        <v>2.4904526072837566E-10</v>
      </c>
      <c r="E211" s="260">
        <f t="shared" si="28"/>
        <v>2.4904526072837566E-10</v>
      </c>
      <c r="F211" s="260">
        <f t="shared" si="27"/>
        <v>2.4927053693957896E-10</v>
      </c>
      <c r="G211" s="260">
        <f t="shared" si="27"/>
        <v>2.4981939929451951E-10</v>
      </c>
      <c r="H211" s="260">
        <f t="shared" si="27"/>
        <v>2.3453767573079529E-10</v>
      </c>
      <c r="I211" s="260">
        <f t="shared" si="27"/>
        <v>2.3474648574350018E-10</v>
      </c>
      <c r="J211" s="260">
        <f t="shared" si="27"/>
        <v>2.3495386480377575E-10</v>
      </c>
      <c r="K211" s="260">
        <f t="shared" si="27"/>
        <v>2.3495386480377575E-10</v>
      </c>
      <c r="L211" s="260">
        <f t="shared" si="27"/>
        <v>2.3495386480377575E-10</v>
      </c>
      <c r="M211" s="260">
        <f t="shared" si="27"/>
        <v>2.3495386480377575E-10</v>
      </c>
      <c r="N211" s="260">
        <f t="shared" si="27"/>
        <v>2.3495386480377575E-10</v>
      </c>
      <c r="O211" s="260">
        <f t="shared" si="27"/>
        <v>2.189839900724309E-10</v>
      </c>
      <c r="P211" s="260" t="e">
        <f t="shared" si="27"/>
        <v>#N/A</v>
      </c>
      <c r="Q211" s="216" t="s">
        <v>972</v>
      </c>
    </row>
    <row r="212" spans="1:17" ht="15" customHeight="1" x14ac:dyDescent="0.25">
      <c r="A212">
        <f t="shared" si="26"/>
        <v>209</v>
      </c>
      <c r="C212" s="218" t="s">
        <v>316</v>
      </c>
      <c r="D212" s="215">
        <f t="shared" si="24"/>
        <v>3.8118664871116146E-9</v>
      </c>
      <c r="E212" s="260">
        <f t="shared" si="28"/>
        <v>3.8118664871116146E-9</v>
      </c>
      <c r="F212" s="260">
        <f t="shared" si="27"/>
        <v>3.8123137140670637E-9</v>
      </c>
      <c r="G212" s="260">
        <f t="shared" si="27"/>
        <v>3.8134033366181942E-9</v>
      </c>
      <c r="H212" s="260">
        <f t="shared" si="27"/>
        <v>3.820396895998917E-9</v>
      </c>
      <c r="I212" s="260">
        <f t="shared" si="27"/>
        <v>3.8208114208610651E-9</v>
      </c>
      <c r="J212" s="260">
        <f t="shared" si="27"/>
        <v>3.8212231050291745E-9</v>
      </c>
      <c r="K212" s="260">
        <f t="shared" si="27"/>
        <v>3.8212231050291745E-9</v>
      </c>
      <c r="L212" s="260">
        <f t="shared" si="27"/>
        <v>3.8212231050291745E-9</v>
      </c>
      <c r="M212" s="260">
        <f t="shared" si="27"/>
        <v>3.8212231050291745E-9</v>
      </c>
      <c r="N212" s="260">
        <f t="shared" si="27"/>
        <v>3.8212231050291745E-9</v>
      </c>
      <c r="O212" s="260">
        <f t="shared" si="27"/>
        <v>3.81435200774708E-9</v>
      </c>
      <c r="P212" s="260" t="e">
        <f t="shared" si="27"/>
        <v>#N/A</v>
      </c>
      <c r="Q212" s="216" t="s">
        <v>973</v>
      </c>
    </row>
    <row r="213" spans="1:17" ht="15" customHeight="1" x14ac:dyDescent="0.25">
      <c r="A213">
        <f t="shared" si="26"/>
        <v>210</v>
      </c>
      <c r="C213" s="218" t="s">
        <v>317</v>
      </c>
      <c r="D213" s="215">
        <f t="shared" si="24"/>
        <v>1.1779003610742216E-9</v>
      </c>
      <c r="E213" s="260">
        <f t="shared" si="28"/>
        <v>1.1779003610742216E-9</v>
      </c>
      <c r="F213" s="260">
        <f t="shared" si="27"/>
        <v>1.1904934392997977E-9</v>
      </c>
      <c r="G213" s="260">
        <f t="shared" si="27"/>
        <v>1.2211751812108553E-9</v>
      </c>
      <c r="H213" s="260">
        <f t="shared" si="27"/>
        <v>1.1209678979982341E-9</v>
      </c>
      <c r="I213" s="260">
        <f t="shared" si="27"/>
        <v>1.1326402114548002E-9</v>
      </c>
      <c r="J213" s="260">
        <f t="shared" si="27"/>
        <v>1.1442325358098873E-9</v>
      </c>
      <c r="K213" s="260">
        <f t="shared" si="27"/>
        <v>1.1442325358098873E-9</v>
      </c>
      <c r="L213" s="260">
        <f t="shared" si="27"/>
        <v>1.1442325358098873E-9</v>
      </c>
      <c r="M213" s="260">
        <f t="shared" si="27"/>
        <v>1.1442325358098873E-9</v>
      </c>
      <c r="N213" s="260">
        <f t="shared" si="27"/>
        <v>1.1442325358098873E-9</v>
      </c>
      <c r="O213" s="260">
        <f t="shared" si="27"/>
        <v>1.1842604430001507E-9</v>
      </c>
      <c r="P213" s="260" t="e">
        <f t="shared" si="27"/>
        <v>#N/A</v>
      </c>
      <c r="Q213" s="216" t="s">
        <v>974</v>
      </c>
    </row>
    <row r="214" spans="1:17" ht="15" customHeight="1" x14ac:dyDescent="0.25">
      <c r="A214">
        <f t="shared" si="26"/>
        <v>211</v>
      </c>
      <c r="C214" s="218" t="s">
        <v>774</v>
      </c>
      <c r="D214" s="215">
        <f t="shared" si="24"/>
        <v>1.2998179086139705E-12</v>
      </c>
      <c r="E214" s="260">
        <f t="shared" si="28"/>
        <v>1.2998179086139705E-12</v>
      </c>
      <c r="F214" s="260">
        <f t="shared" si="27"/>
        <v>1.3102546320876951E-12</v>
      </c>
      <c r="G214" s="260">
        <f t="shared" si="27"/>
        <v>1.3356826370823389E-12</v>
      </c>
      <c r="H214" s="260">
        <f t="shared" si="27"/>
        <v>2.0657780603473455E-12</v>
      </c>
      <c r="I214" s="260">
        <f t="shared" si="27"/>
        <v>2.0754514880122042E-12</v>
      </c>
      <c r="J214" s="260">
        <f t="shared" si="27"/>
        <v>2.0850586247236874E-12</v>
      </c>
      <c r="K214" s="260">
        <f t="shared" si="27"/>
        <v>2.0850586247236874E-12</v>
      </c>
      <c r="L214" s="260">
        <f t="shared" si="27"/>
        <v>2.0850586247236874E-12</v>
      </c>
      <c r="M214" s="260">
        <f t="shared" si="27"/>
        <v>2.0850586247236874E-12</v>
      </c>
      <c r="N214" s="260">
        <f t="shared" si="27"/>
        <v>2.0850586247236874E-12</v>
      </c>
      <c r="O214" s="260">
        <f t="shared" si="27"/>
        <v>3.8099234120732577E-13</v>
      </c>
      <c r="P214" s="260" t="e">
        <f t="shared" si="27"/>
        <v>#N/A</v>
      </c>
      <c r="Q214" s="216" t="s">
        <v>975</v>
      </c>
    </row>
    <row r="215" spans="1:17" ht="15" customHeight="1" x14ac:dyDescent="0.25">
      <c r="A215">
        <f t="shared" si="26"/>
        <v>212</v>
      </c>
      <c r="C215" s="218" t="s">
        <v>318</v>
      </c>
      <c r="D215" s="215">
        <f t="shared" si="24"/>
        <v>1.8698140200286121E-9</v>
      </c>
      <c r="E215" s="260">
        <f t="shared" si="28"/>
        <v>1.8698140200286121E-9</v>
      </c>
      <c r="F215" s="260">
        <f t="shared" si="27"/>
        <v>1.8698140200286121E-9</v>
      </c>
      <c r="G215" s="260">
        <f t="shared" si="27"/>
        <v>1.8698140200286121E-9</v>
      </c>
      <c r="H215" s="260">
        <f t="shared" si="27"/>
        <v>1.8996941896024462E-9</v>
      </c>
      <c r="I215" s="260">
        <f t="shared" si="27"/>
        <v>1.8996941896024462E-9</v>
      </c>
      <c r="J215" s="260">
        <f t="shared" si="27"/>
        <v>1.8996941896024462E-9</v>
      </c>
      <c r="K215" s="260">
        <f t="shared" si="27"/>
        <v>1.8996941896024462E-9</v>
      </c>
      <c r="L215" s="260">
        <f t="shared" si="27"/>
        <v>1.8996941896024462E-9</v>
      </c>
      <c r="M215" s="260">
        <f t="shared" si="27"/>
        <v>1.8996941896024462E-9</v>
      </c>
      <c r="N215" s="260">
        <f t="shared" si="27"/>
        <v>1.8996941896024462E-9</v>
      </c>
      <c r="O215" s="260">
        <f t="shared" si="27"/>
        <v>1.8715697036223929E-9</v>
      </c>
      <c r="P215" s="260" t="e">
        <f t="shared" si="27"/>
        <v>#N/A</v>
      </c>
      <c r="Q215" s="216" t="s">
        <v>976</v>
      </c>
    </row>
    <row r="216" spans="1:17" ht="15" customHeight="1" x14ac:dyDescent="0.25">
      <c r="A216">
        <f t="shared" si="26"/>
        <v>213</v>
      </c>
      <c r="C216" s="218" t="s">
        <v>319</v>
      </c>
      <c r="D216" s="215">
        <f t="shared" si="24"/>
        <v>1.3076256696834184E-5</v>
      </c>
      <c r="E216" s="260">
        <f t="shared" si="28"/>
        <v>1.3076256696834184E-5</v>
      </c>
      <c r="F216" s="260">
        <f t="shared" si="27"/>
        <v>1.3132323471956237E-5</v>
      </c>
      <c r="G216" s="260">
        <f t="shared" si="27"/>
        <v>1.3268924412033495E-5</v>
      </c>
      <c r="H216" s="260">
        <f t="shared" si="27"/>
        <v>1.1276991753582088E-5</v>
      </c>
      <c r="I216" s="260">
        <f t="shared" si="27"/>
        <v>1.1328958884337077E-5</v>
      </c>
      <c r="J216" s="260">
        <f t="shared" si="27"/>
        <v>1.1380569889966485E-5</v>
      </c>
      <c r="K216" s="260">
        <f t="shared" si="27"/>
        <v>1.1380569889966485E-5</v>
      </c>
      <c r="L216" s="260">
        <f t="shared" si="27"/>
        <v>1.1380569889966485E-5</v>
      </c>
      <c r="M216" s="260">
        <f t="shared" si="27"/>
        <v>1.1380569889966485E-5</v>
      </c>
      <c r="N216" s="260">
        <f t="shared" si="27"/>
        <v>1.1380569889966485E-5</v>
      </c>
      <c r="O216" s="260">
        <f t="shared" si="27"/>
        <v>5.4882413577126692E-6</v>
      </c>
      <c r="P216" s="260" t="e">
        <f t="shared" si="27"/>
        <v>#N/A</v>
      </c>
      <c r="Q216" s="216" t="s">
        <v>1065</v>
      </c>
    </row>
    <row r="217" spans="1:17" ht="15" customHeight="1" x14ac:dyDescent="0.25">
      <c r="A217">
        <f t="shared" si="26"/>
        <v>214</v>
      </c>
      <c r="C217" s="218" t="s">
        <v>320</v>
      </c>
      <c r="D217" s="215">
        <f t="shared" si="24"/>
        <v>4.4851897718485398E-11</v>
      </c>
      <c r="E217" s="260">
        <f t="shared" si="28"/>
        <v>4.4851897718485398E-11</v>
      </c>
      <c r="F217" s="260">
        <f t="shared" si="27"/>
        <v>4.4953709587614566E-11</v>
      </c>
      <c r="G217" s="260">
        <f t="shared" si="27"/>
        <v>4.5201763751667908E-11</v>
      </c>
      <c r="H217" s="260">
        <f t="shared" si="27"/>
        <v>6.3835282149293602E-11</v>
      </c>
      <c r="I217" s="260">
        <f t="shared" si="27"/>
        <v>6.3929648792170719E-11</v>
      </c>
      <c r="J217" s="260">
        <f t="shared" si="27"/>
        <v>6.4023368750652209E-11</v>
      </c>
      <c r="K217" s="260">
        <f t="shared" si="27"/>
        <v>6.4023368750652209E-11</v>
      </c>
      <c r="L217" s="260">
        <f t="shared" si="27"/>
        <v>6.4023368750652209E-11</v>
      </c>
      <c r="M217" s="260">
        <f t="shared" si="27"/>
        <v>6.4023368750652209E-11</v>
      </c>
      <c r="N217" s="260">
        <f t="shared" si="27"/>
        <v>6.4023368750652209E-11</v>
      </c>
      <c r="O217" s="260">
        <f t="shared" si="27"/>
        <v>1.7822273941932503E-11</v>
      </c>
      <c r="P217" s="260" t="e">
        <f t="shared" si="27"/>
        <v>#N/A</v>
      </c>
      <c r="Q217" s="216" t="s">
        <v>977</v>
      </c>
    </row>
    <row r="218" spans="1:17" ht="15" customHeight="1" x14ac:dyDescent="0.25">
      <c r="A218">
        <f t="shared" si="26"/>
        <v>215</v>
      </c>
      <c r="C218" s="218" t="s">
        <v>321</v>
      </c>
      <c r="D218" s="215">
        <f t="shared" si="24"/>
        <v>1.1928978279535172E-6</v>
      </c>
      <c r="E218" s="260">
        <f t="shared" si="28"/>
        <v>1.1928978279535172E-6</v>
      </c>
      <c r="F218" s="260">
        <f t="shared" si="27"/>
        <v>1.2034475417634477E-6</v>
      </c>
      <c r="G218" s="260">
        <f t="shared" si="27"/>
        <v>1.2291508361092592E-6</v>
      </c>
      <c r="H218" s="260">
        <f t="shared" si="27"/>
        <v>1.1616366886873835E-6</v>
      </c>
      <c r="I218" s="260">
        <f t="shared" si="27"/>
        <v>1.1713956045504961E-6</v>
      </c>
      <c r="J218" s="260">
        <f t="shared" si="27"/>
        <v>1.1810876436188583E-6</v>
      </c>
      <c r="K218" s="260">
        <f t="shared" si="27"/>
        <v>1.1810876436188583E-6</v>
      </c>
      <c r="L218" s="260">
        <f t="shared" si="27"/>
        <v>1.1810876436188583E-6</v>
      </c>
      <c r="M218" s="260">
        <f t="shared" si="27"/>
        <v>1.1810876436188583E-6</v>
      </c>
      <c r="N218" s="260">
        <f t="shared" si="27"/>
        <v>1.1810876436188583E-6</v>
      </c>
      <c r="O218" s="260">
        <f t="shared" si="27"/>
        <v>1.1003887025258524E-6</v>
      </c>
      <c r="P218" s="260" t="e">
        <f t="shared" si="27"/>
        <v>#N/A</v>
      </c>
      <c r="Q218" s="216" t="s">
        <v>978</v>
      </c>
    </row>
    <row r="219" spans="1:17" ht="15" customHeight="1" x14ac:dyDescent="0.25">
      <c r="A219">
        <f t="shared" si="26"/>
        <v>216</v>
      </c>
      <c r="C219" s="218" t="s">
        <v>515</v>
      </c>
      <c r="D219" s="215">
        <f t="shared" si="24"/>
        <v>7.1244635193133047E-12</v>
      </c>
      <c r="E219" s="260">
        <f t="shared" si="28"/>
        <v>7.1244635193133047E-12</v>
      </c>
      <c r="F219" s="260">
        <f t="shared" si="27"/>
        <v>7.1244635193133047E-12</v>
      </c>
      <c r="G219" s="260">
        <f t="shared" si="27"/>
        <v>7.1244635193133047E-12</v>
      </c>
      <c r="H219" s="260">
        <f t="shared" si="27"/>
        <v>1.237308868501529E-11</v>
      </c>
      <c r="I219" s="260">
        <f t="shared" si="27"/>
        <v>1.237308868501529E-11</v>
      </c>
      <c r="J219" s="260">
        <f t="shared" si="27"/>
        <v>1.237308868501529E-11</v>
      </c>
      <c r="K219" s="260">
        <f t="shared" si="27"/>
        <v>1.237308868501529E-11</v>
      </c>
      <c r="L219" s="260">
        <f t="shared" si="27"/>
        <v>1.237308868501529E-11</v>
      </c>
      <c r="M219" s="260">
        <f t="shared" si="27"/>
        <v>1.237308868501529E-11</v>
      </c>
      <c r="N219" s="260">
        <f t="shared" si="27"/>
        <v>1.237308868501529E-11</v>
      </c>
      <c r="O219" s="260">
        <f t="shared" si="27"/>
        <v>0</v>
      </c>
      <c r="P219" s="260" t="e">
        <f t="shared" si="27"/>
        <v>#N/A</v>
      </c>
      <c r="Q219" s="216" t="s">
        <v>979</v>
      </c>
    </row>
    <row r="220" spans="1:17" ht="15" customHeight="1" x14ac:dyDescent="0.25">
      <c r="C220" s="218"/>
      <c r="D220" s="244"/>
      <c r="E220" s="260"/>
      <c r="F220" s="260"/>
      <c r="G220" s="260"/>
      <c r="H220" s="260"/>
      <c r="I220" s="260"/>
      <c r="J220" s="260"/>
      <c r="K220" s="260"/>
      <c r="L220" s="260"/>
      <c r="M220" s="260"/>
      <c r="N220" s="260"/>
      <c r="O220" s="260"/>
      <c r="P220" s="260"/>
      <c r="Q220" s="216"/>
    </row>
    <row r="221" spans="1:17" ht="15" customHeight="1" thickBot="1" x14ac:dyDescent="0.3">
      <c r="C221" s="219"/>
      <c r="D221" s="227"/>
      <c r="E221" s="220"/>
      <c r="F221" s="221"/>
      <c r="G221" s="221"/>
      <c r="H221" s="243"/>
      <c r="I221" s="243"/>
      <c r="J221" s="243"/>
      <c r="K221" s="243"/>
      <c r="L221" s="243"/>
      <c r="M221" s="243"/>
      <c r="N221" s="243"/>
      <c r="O221" s="243"/>
      <c r="P221" s="222"/>
      <c r="Q221" s="223"/>
    </row>
    <row r="222" spans="1:17" ht="15" customHeight="1" x14ac:dyDescent="0.25"/>
    <row r="223" spans="1:17" ht="15" customHeight="1" x14ac:dyDescent="0.25"/>
    <row r="224" spans="1:17" ht="15" customHeight="1" x14ac:dyDescent="0.25"/>
    <row r="225" spans="3:17" ht="15" customHeight="1" x14ac:dyDescent="0.25"/>
    <row r="226" spans="3:17" ht="15" customHeight="1" x14ac:dyDescent="0.25"/>
    <row r="227" spans="3:17" ht="18.75" x14ac:dyDescent="0.3">
      <c r="C227" s="224" t="s">
        <v>328</v>
      </c>
    </row>
    <row r="228" spans="3:17" x14ac:dyDescent="0.25">
      <c r="C228" s="225" t="s">
        <v>323</v>
      </c>
      <c r="D228" s="435" t="s">
        <v>9</v>
      </c>
      <c r="E228" s="435"/>
      <c r="F228" s="435"/>
      <c r="G228" s="435"/>
      <c r="H228" s="435"/>
      <c r="I228" s="435"/>
      <c r="J228" s="435"/>
      <c r="K228" s="435"/>
      <c r="L228" s="435"/>
      <c r="M228" s="435"/>
      <c r="N228" s="435"/>
      <c r="O228" s="435"/>
      <c r="P228" s="435"/>
      <c r="Q228" s="435"/>
    </row>
    <row r="229" spans="3:17" ht="30" customHeight="1" x14ac:dyDescent="0.25">
      <c r="C229" s="226">
        <v>1</v>
      </c>
      <c r="D229" s="423" t="str">
        <f>INDEX($E$6:$P$6,1,ROW()-ROW($C$228))&amp;" - "&amp;HLOOKUP(INDEX($E$6:$P$6,1,ROW()-ROW($C$228)),'Concrete Mix'!$B$1:$L$13,4,FALSE) &amp; " MPa compressive strength"</f>
        <v>Precast Mix 1 - 50 MPa compressive strength</v>
      </c>
      <c r="E229" s="423"/>
      <c r="F229" s="423"/>
      <c r="G229" s="423"/>
      <c r="H229" s="423"/>
      <c r="I229" s="423"/>
      <c r="J229" s="423"/>
      <c r="K229" s="423"/>
      <c r="L229" s="423"/>
      <c r="M229" s="423"/>
      <c r="N229" s="423"/>
      <c r="O229" s="423"/>
      <c r="P229" s="423"/>
      <c r="Q229" s="423"/>
    </row>
    <row r="230" spans="3:17" ht="30" customHeight="1" x14ac:dyDescent="0.25">
      <c r="C230" s="226">
        <v>2</v>
      </c>
      <c r="D230" s="423" t="str">
        <f>INDEX($E$6:$P$6,1,ROW()-ROW($C$228))&amp;" - "&amp;HLOOKUP(INDEX($E$6:$P$6,1,ROW()-ROW($C$228)),'Concrete Mix'!$B$1:$L$13,4,FALSE) &amp; " MPa compressive strength"</f>
        <v>Precast Mix 2 - 70 MPa compressive strength</v>
      </c>
      <c r="E230" s="423"/>
      <c r="F230" s="423"/>
      <c r="G230" s="423"/>
      <c r="H230" s="423"/>
      <c r="I230" s="423"/>
      <c r="J230" s="423"/>
      <c r="K230" s="423"/>
      <c r="L230" s="423"/>
      <c r="M230" s="423"/>
      <c r="N230" s="423"/>
      <c r="O230" s="423"/>
      <c r="P230" s="423"/>
      <c r="Q230" s="423"/>
    </row>
    <row r="231" spans="3:17" ht="30" customHeight="1" x14ac:dyDescent="0.25">
      <c r="C231" s="226">
        <v>3</v>
      </c>
      <c r="D231" s="423" t="str">
        <f>INDEX($E$6:$P$6,1,ROW()-ROW($C$228))&amp;" - "&amp;HLOOKUP(INDEX($E$6:$P$6,1,ROW()-ROW($C$228)),'Concrete Mix'!$B$1:$L$13,4,FALSE) &amp; " MPa compressive strength"</f>
        <v>Precast Mix 3 - unspecified MPa compressive strength</v>
      </c>
      <c r="E231" s="423"/>
      <c r="F231" s="423"/>
      <c r="G231" s="423"/>
      <c r="H231" s="423"/>
      <c r="I231" s="423"/>
      <c r="J231" s="423"/>
      <c r="K231" s="423"/>
      <c r="L231" s="423"/>
      <c r="M231" s="423"/>
      <c r="N231" s="423"/>
      <c r="O231" s="423"/>
      <c r="P231" s="423"/>
      <c r="Q231" s="423"/>
    </row>
    <row r="232" spans="3:17" x14ac:dyDescent="0.25">
      <c r="C232" s="226">
        <v>4</v>
      </c>
      <c r="D232" s="423" t="str">
        <f>INDEX($E$6:$P$6,1,ROW()-ROW($C$228))&amp;" - "&amp;HLOOKUP(INDEX($E$6:$P$6,1,ROW()-ROW($C$228)),'Concrete Mix'!$B$1:$L$13,4,FALSE) &amp; " MPa compressive strength"</f>
        <v>Ready Mix 1 - 35 MPa compressive strength</v>
      </c>
      <c r="E232" s="423"/>
      <c r="F232" s="423"/>
      <c r="G232" s="423"/>
      <c r="H232" s="423"/>
      <c r="I232" s="423"/>
      <c r="J232" s="423"/>
      <c r="K232" s="423"/>
      <c r="L232" s="423"/>
      <c r="M232" s="423"/>
      <c r="N232" s="423"/>
      <c r="O232" s="423"/>
      <c r="P232" s="423"/>
      <c r="Q232" s="423"/>
    </row>
    <row r="233" spans="3:17" x14ac:dyDescent="0.25">
      <c r="C233" s="226">
        <v>5</v>
      </c>
      <c r="D233" s="423" t="str">
        <f>INDEX($E$6:$P$6,1,ROW()-ROW($C$228))&amp;" - "&amp;HLOOKUP(INDEX($E$6:$P$6,1,ROW()-ROW($C$228)),'Concrete Mix'!$B$1:$L$13,4,FALSE) &amp; " MPa compressive strength"</f>
        <v>Ready Mix 2 - 25 MPa compressive strength</v>
      </c>
      <c r="E233" s="423"/>
      <c r="F233" s="423"/>
      <c r="G233" s="423"/>
      <c r="H233" s="423"/>
      <c r="I233" s="423"/>
      <c r="J233" s="423"/>
      <c r="K233" s="423"/>
      <c r="L233" s="423"/>
      <c r="M233" s="423"/>
      <c r="N233" s="423"/>
      <c r="O233" s="423"/>
      <c r="P233" s="423"/>
      <c r="Q233" s="423"/>
    </row>
    <row r="234" spans="3:17" x14ac:dyDescent="0.25">
      <c r="C234" s="226">
        <v>6</v>
      </c>
      <c r="D234" s="423" t="str">
        <f>INDEX($E$6:$P$6,1,ROW()-ROW($C$228))&amp;" - "&amp;HLOOKUP(INDEX($E$6:$P$6,1,ROW()-ROW($C$228)),'Concrete Mix'!$B$1:$L$13,4,FALSE) &amp; " MPa compressive strength"</f>
        <v>Ready Mix 3 - 20 MPa compressive strength</v>
      </c>
      <c r="E234" s="423"/>
      <c r="F234" s="423"/>
      <c r="G234" s="423"/>
      <c r="H234" s="423"/>
      <c r="I234" s="423"/>
      <c r="J234" s="423"/>
      <c r="K234" s="423"/>
      <c r="L234" s="423"/>
      <c r="M234" s="423"/>
      <c r="N234" s="423"/>
      <c r="O234" s="423"/>
      <c r="P234" s="423"/>
      <c r="Q234" s="423"/>
    </row>
    <row r="235" spans="3:17" x14ac:dyDescent="0.25">
      <c r="C235" s="226">
        <v>7</v>
      </c>
      <c r="D235" s="423" t="str">
        <f>INDEX($E$6:$P$6,1,ROW()-ROW($C$228))&amp;" - "&amp;HLOOKUP(INDEX($E$6:$P$6,1,ROW()-ROW($C$228)),'Concrete Mix'!$B$1:$L$13,4,FALSE) &amp; " MPa compressive strength"</f>
        <v>Ready Mix 4 - 20 MPa compressive strength</v>
      </c>
      <c r="E235" s="423"/>
      <c r="F235" s="423"/>
      <c r="G235" s="423"/>
      <c r="H235" s="423"/>
      <c r="I235" s="423"/>
      <c r="J235" s="423"/>
      <c r="K235" s="423"/>
      <c r="L235" s="423"/>
      <c r="M235" s="423"/>
      <c r="N235" s="423"/>
      <c r="O235" s="423"/>
      <c r="P235" s="423"/>
      <c r="Q235" s="423"/>
    </row>
    <row r="236" spans="3:17" x14ac:dyDescent="0.25">
      <c r="C236" s="226">
        <v>8</v>
      </c>
      <c r="D236" s="423" t="str">
        <f>INDEX($E$6:$P$6,1,ROW()-ROW($C$228))&amp;" - "&amp;HLOOKUP(INDEX($E$6:$P$6,1,ROW()-ROW($C$228)),'Concrete Mix'!$B$1:$L$13,4,FALSE) &amp; " MPa compressive strength"</f>
        <v>Ready Mix 5 - 20 MPa compressive strength</v>
      </c>
      <c r="E236" s="423"/>
      <c r="F236" s="423"/>
      <c r="G236" s="423"/>
      <c r="H236" s="423"/>
      <c r="I236" s="423"/>
      <c r="J236" s="423"/>
      <c r="K236" s="423"/>
      <c r="L236" s="423"/>
      <c r="M236" s="423"/>
      <c r="N236" s="423"/>
      <c r="O236" s="423"/>
      <c r="P236" s="423"/>
      <c r="Q236" s="423"/>
    </row>
    <row r="237" spans="3:17" x14ac:dyDescent="0.25">
      <c r="C237" s="226">
        <v>9</v>
      </c>
      <c r="D237" s="423" t="str">
        <f>INDEX($E$6:$P$6,1,ROW()-ROW($C$228))&amp;" - "&amp;HLOOKUP(INDEX($E$6:$P$6,1,ROW()-ROW($C$228)),'Concrete Mix'!$B$1:$L$13,4,FALSE) &amp; " MPa compressive strength"</f>
        <v>Ready Mix 6 - 20 MPa compressive strength</v>
      </c>
      <c r="E237" s="423"/>
      <c r="F237" s="423"/>
      <c r="G237" s="423"/>
      <c r="H237" s="423"/>
      <c r="I237" s="423"/>
      <c r="J237" s="423"/>
      <c r="K237" s="423"/>
      <c r="L237" s="423"/>
      <c r="M237" s="423"/>
      <c r="N237" s="423"/>
      <c r="O237" s="423"/>
      <c r="P237" s="423"/>
      <c r="Q237" s="423"/>
    </row>
    <row r="238" spans="3:17" x14ac:dyDescent="0.25">
      <c r="C238" s="226">
        <v>10</v>
      </c>
      <c r="D238" s="423" t="str">
        <f>INDEX($E$6:$P$6,1,ROW()-ROW($C$228))&amp;" - "&amp;HLOOKUP(INDEX($E$6:$P$6,1,ROW()-ROW($C$228)),'Concrete Mix'!$B$1:$L$13,4,FALSE) &amp; " MPa compressive strength"</f>
        <v>Ready Mix 7 - 20 MPa compressive strength</v>
      </c>
      <c r="E238" s="423"/>
      <c r="F238" s="423"/>
      <c r="G238" s="423"/>
      <c r="H238" s="423"/>
      <c r="I238" s="423"/>
      <c r="J238" s="423"/>
      <c r="K238" s="423"/>
      <c r="L238" s="423"/>
      <c r="M238" s="423"/>
      <c r="N238" s="423"/>
      <c r="O238" s="423"/>
      <c r="P238" s="423"/>
      <c r="Q238" s="423"/>
    </row>
    <row r="239" spans="3:17" x14ac:dyDescent="0.25">
      <c r="C239" s="226">
        <v>11</v>
      </c>
      <c r="D239" s="423" t="str">
        <f>INDEX($E$6:$P$6,1,ROW()-ROW($C$228))&amp;" - "&amp;HLOOKUP(INDEX($E$6:$P$6,1,ROW()-ROW($C$228)),'Concrete Mix'!$B$1:$L$13,4,FALSE) &amp; " MPa compressive strength"</f>
        <v>CMU Mix - unspecified MPa compressive strength</v>
      </c>
      <c r="E239" s="423"/>
      <c r="F239" s="423"/>
      <c r="G239" s="423"/>
      <c r="H239" s="423"/>
      <c r="I239" s="423"/>
      <c r="J239" s="423"/>
      <c r="K239" s="423"/>
      <c r="L239" s="423"/>
      <c r="M239" s="423"/>
      <c r="N239" s="423"/>
      <c r="O239" s="423"/>
      <c r="P239" s="423"/>
      <c r="Q239" s="423"/>
    </row>
    <row r="240" spans="3:17" x14ac:dyDescent="0.25">
      <c r="C240" s="226">
        <v>12</v>
      </c>
      <c r="D240" s="423" t="s">
        <v>837</v>
      </c>
      <c r="E240" s="423"/>
      <c r="F240" s="423"/>
      <c r="G240" s="423"/>
      <c r="H240" s="423"/>
      <c r="I240" s="423"/>
      <c r="J240" s="423"/>
      <c r="K240" s="423"/>
      <c r="L240" s="423"/>
      <c r="M240" s="423"/>
      <c r="N240" s="423"/>
      <c r="O240" s="423"/>
      <c r="P240" s="423"/>
      <c r="Q240" s="423"/>
    </row>
  </sheetData>
  <mergeCells count="18">
    <mergeCell ref="D229:Q229"/>
    <mergeCell ref="D230:Q230"/>
    <mergeCell ref="D231:Q231"/>
    <mergeCell ref="A1:R1"/>
    <mergeCell ref="C3:C6"/>
    <mergeCell ref="E3:P3"/>
    <mergeCell ref="Q3:Q6"/>
    <mergeCell ref="E5:P5"/>
    <mergeCell ref="D228:Q228"/>
    <mergeCell ref="D237:Q237"/>
    <mergeCell ref="D238:Q238"/>
    <mergeCell ref="D239:Q239"/>
    <mergeCell ref="D240:Q240"/>
    <mergeCell ref="D232:Q232"/>
    <mergeCell ref="D233:Q233"/>
    <mergeCell ref="D234:Q234"/>
    <mergeCell ref="D235:Q235"/>
    <mergeCell ref="D236:Q23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F28" sqref="F27:F28"/>
    </sheetView>
  </sheetViews>
  <sheetFormatPr defaultColWidth="36.85546875" defaultRowHeight="12.75" customHeight="1" x14ac:dyDescent="0.25"/>
  <cols>
    <col min="1" max="1" width="18.5703125" style="140" customWidth="1"/>
    <col min="2" max="10" width="31.42578125" style="139" customWidth="1"/>
    <col min="11" max="27" width="36.85546875" style="139" customWidth="1"/>
    <col min="28" max="28" width="37" style="139" customWidth="1"/>
    <col min="29" max="35" width="36.85546875" style="139" customWidth="1"/>
    <col min="36" max="44" width="36.85546875" style="140" customWidth="1"/>
    <col min="45" max="45" width="37.140625" style="140" customWidth="1"/>
    <col min="46" max="47" width="36.85546875" style="140" customWidth="1"/>
    <col min="48" max="48" width="36.5703125" style="140" customWidth="1"/>
    <col min="49" max="50" width="36.85546875" style="140" customWidth="1"/>
    <col min="51" max="51" width="36.5703125" style="140" customWidth="1"/>
    <col min="52" max="52" width="37" style="140" customWidth="1"/>
    <col min="53" max="71" width="36.85546875" style="140" customWidth="1"/>
    <col min="72" max="72" width="37" style="140" customWidth="1"/>
    <col min="73" max="90" width="36.85546875" style="140" customWidth="1"/>
    <col min="91" max="91" width="36.5703125" style="140" customWidth="1"/>
    <col min="92" max="104" width="36.85546875" style="140" customWidth="1"/>
    <col min="105" max="105" width="36.5703125" style="140" customWidth="1"/>
    <col min="106" max="108" width="36.85546875" style="140" customWidth="1"/>
    <col min="109" max="109" width="36.5703125" style="140" customWidth="1"/>
    <col min="110" max="117" width="36.85546875" style="140" customWidth="1"/>
    <col min="118" max="118" width="36.5703125" style="140" customWidth="1"/>
    <col min="119" max="256" width="36.85546875" style="140"/>
    <col min="257" max="257" width="18.5703125" style="140" customWidth="1"/>
    <col min="258" max="266" width="31.42578125" style="140" customWidth="1"/>
    <col min="267" max="283" width="36.85546875" style="140" customWidth="1"/>
    <col min="284" max="284" width="37" style="140" customWidth="1"/>
    <col min="285" max="300" width="36.85546875" style="140" customWidth="1"/>
    <col min="301" max="301" width="37.140625" style="140" customWidth="1"/>
    <col min="302" max="303" width="36.85546875" style="140" customWidth="1"/>
    <col min="304" max="304" width="36.5703125" style="140" customWidth="1"/>
    <col min="305" max="306" width="36.85546875" style="140" customWidth="1"/>
    <col min="307" max="307" width="36.5703125" style="140" customWidth="1"/>
    <col min="308" max="308" width="37" style="140" customWidth="1"/>
    <col min="309" max="327" width="36.85546875" style="140" customWidth="1"/>
    <col min="328" max="328" width="37" style="140" customWidth="1"/>
    <col min="329" max="346" width="36.85546875" style="140" customWidth="1"/>
    <col min="347" max="347" width="36.5703125" style="140" customWidth="1"/>
    <col min="348" max="360" width="36.85546875" style="140" customWidth="1"/>
    <col min="361" max="361" width="36.5703125" style="140" customWidth="1"/>
    <col min="362" max="364" width="36.85546875" style="140" customWidth="1"/>
    <col min="365" max="365" width="36.5703125" style="140" customWidth="1"/>
    <col min="366" max="373" width="36.85546875" style="140" customWidth="1"/>
    <col min="374" max="374" width="36.5703125" style="140" customWidth="1"/>
    <col min="375" max="512" width="36.85546875" style="140"/>
    <col min="513" max="513" width="18.5703125" style="140" customWidth="1"/>
    <col min="514" max="522" width="31.42578125" style="140" customWidth="1"/>
    <col min="523" max="539" width="36.85546875" style="140" customWidth="1"/>
    <col min="540" max="540" width="37" style="140" customWidth="1"/>
    <col min="541" max="556" width="36.85546875" style="140" customWidth="1"/>
    <col min="557" max="557" width="37.140625" style="140" customWidth="1"/>
    <col min="558" max="559" width="36.85546875" style="140" customWidth="1"/>
    <col min="560" max="560" width="36.5703125" style="140" customWidth="1"/>
    <col min="561" max="562" width="36.85546875" style="140" customWidth="1"/>
    <col min="563" max="563" width="36.5703125" style="140" customWidth="1"/>
    <col min="564" max="564" width="37" style="140" customWidth="1"/>
    <col min="565" max="583" width="36.85546875" style="140" customWidth="1"/>
    <col min="584" max="584" width="37" style="140" customWidth="1"/>
    <col min="585" max="602" width="36.85546875" style="140" customWidth="1"/>
    <col min="603" max="603" width="36.5703125" style="140" customWidth="1"/>
    <col min="604" max="616" width="36.85546875" style="140" customWidth="1"/>
    <col min="617" max="617" width="36.5703125" style="140" customWidth="1"/>
    <col min="618" max="620" width="36.85546875" style="140" customWidth="1"/>
    <col min="621" max="621" width="36.5703125" style="140" customWidth="1"/>
    <col min="622" max="629" width="36.85546875" style="140" customWidth="1"/>
    <col min="630" max="630" width="36.5703125" style="140" customWidth="1"/>
    <col min="631" max="768" width="36.85546875" style="140"/>
    <col min="769" max="769" width="18.5703125" style="140" customWidth="1"/>
    <col min="770" max="778" width="31.42578125" style="140" customWidth="1"/>
    <col min="779" max="795" width="36.85546875" style="140" customWidth="1"/>
    <col min="796" max="796" width="37" style="140" customWidth="1"/>
    <col min="797" max="812" width="36.85546875" style="140" customWidth="1"/>
    <col min="813" max="813" width="37.140625" style="140" customWidth="1"/>
    <col min="814" max="815" width="36.85546875" style="140" customWidth="1"/>
    <col min="816" max="816" width="36.5703125" style="140" customWidth="1"/>
    <col min="817" max="818" width="36.85546875" style="140" customWidth="1"/>
    <col min="819" max="819" width="36.5703125" style="140" customWidth="1"/>
    <col min="820" max="820" width="37" style="140" customWidth="1"/>
    <col min="821" max="839" width="36.85546875" style="140" customWidth="1"/>
    <col min="840" max="840" width="37" style="140" customWidth="1"/>
    <col min="841" max="858" width="36.85546875" style="140" customWidth="1"/>
    <col min="859" max="859" width="36.5703125" style="140" customWidth="1"/>
    <col min="860" max="872" width="36.85546875" style="140" customWidth="1"/>
    <col min="873" max="873" width="36.5703125" style="140" customWidth="1"/>
    <col min="874" max="876" width="36.85546875" style="140" customWidth="1"/>
    <col min="877" max="877" width="36.5703125" style="140" customWidth="1"/>
    <col min="878" max="885" width="36.85546875" style="140" customWidth="1"/>
    <col min="886" max="886" width="36.5703125" style="140" customWidth="1"/>
    <col min="887" max="1024" width="36.85546875" style="140"/>
    <col min="1025" max="1025" width="18.5703125" style="140" customWidth="1"/>
    <col min="1026" max="1034" width="31.42578125" style="140" customWidth="1"/>
    <col min="1035" max="1051" width="36.85546875" style="140" customWidth="1"/>
    <col min="1052" max="1052" width="37" style="140" customWidth="1"/>
    <col min="1053" max="1068" width="36.85546875" style="140" customWidth="1"/>
    <col min="1069" max="1069" width="37.140625" style="140" customWidth="1"/>
    <col min="1070" max="1071" width="36.85546875" style="140" customWidth="1"/>
    <col min="1072" max="1072" width="36.5703125" style="140" customWidth="1"/>
    <col min="1073" max="1074" width="36.85546875" style="140" customWidth="1"/>
    <col min="1075" max="1075" width="36.5703125" style="140" customWidth="1"/>
    <col min="1076" max="1076" width="37" style="140" customWidth="1"/>
    <col min="1077" max="1095" width="36.85546875" style="140" customWidth="1"/>
    <col min="1096" max="1096" width="37" style="140" customWidth="1"/>
    <col min="1097" max="1114" width="36.85546875" style="140" customWidth="1"/>
    <col min="1115" max="1115" width="36.5703125" style="140" customWidth="1"/>
    <col min="1116" max="1128" width="36.85546875" style="140" customWidth="1"/>
    <col min="1129" max="1129" width="36.5703125" style="140" customWidth="1"/>
    <col min="1130" max="1132" width="36.85546875" style="140" customWidth="1"/>
    <col min="1133" max="1133" width="36.5703125" style="140" customWidth="1"/>
    <col min="1134" max="1141" width="36.85546875" style="140" customWidth="1"/>
    <col min="1142" max="1142" width="36.5703125" style="140" customWidth="1"/>
    <col min="1143" max="1280" width="36.85546875" style="140"/>
    <col min="1281" max="1281" width="18.5703125" style="140" customWidth="1"/>
    <col min="1282" max="1290" width="31.42578125" style="140" customWidth="1"/>
    <col min="1291" max="1307" width="36.85546875" style="140" customWidth="1"/>
    <col min="1308" max="1308" width="37" style="140" customWidth="1"/>
    <col min="1309" max="1324" width="36.85546875" style="140" customWidth="1"/>
    <col min="1325" max="1325" width="37.140625" style="140" customWidth="1"/>
    <col min="1326" max="1327" width="36.85546875" style="140" customWidth="1"/>
    <col min="1328" max="1328" width="36.5703125" style="140" customWidth="1"/>
    <col min="1329" max="1330" width="36.85546875" style="140" customWidth="1"/>
    <col min="1331" max="1331" width="36.5703125" style="140" customWidth="1"/>
    <col min="1332" max="1332" width="37" style="140" customWidth="1"/>
    <col min="1333" max="1351" width="36.85546875" style="140" customWidth="1"/>
    <col min="1352" max="1352" width="37" style="140" customWidth="1"/>
    <col min="1353" max="1370" width="36.85546875" style="140" customWidth="1"/>
    <col min="1371" max="1371" width="36.5703125" style="140" customWidth="1"/>
    <col min="1372" max="1384" width="36.85546875" style="140" customWidth="1"/>
    <col min="1385" max="1385" width="36.5703125" style="140" customWidth="1"/>
    <col min="1386" max="1388" width="36.85546875" style="140" customWidth="1"/>
    <col min="1389" max="1389" width="36.5703125" style="140" customWidth="1"/>
    <col min="1390" max="1397" width="36.85546875" style="140" customWidth="1"/>
    <col min="1398" max="1398" width="36.5703125" style="140" customWidth="1"/>
    <col min="1399" max="1536" width="36.85546875" style="140"/>
    <col min="1537" max="1537" width="18.5703125" style="140" customWidth="1"/>
    <col min="1538" max="1546" width="31.42578125" style="140" customWidth="1"/>
    <col min="1547" max="1563" width="36.85546875" style="140" customWidth="1"/>
    <col min="1564" max="1564" width="37" style="140" customWidth="1"/>
    <col min="1565" max="1580" width="36.85546875" style="140" customWidth="1"/>
    <col min="1581" max="1581" width="37.140625" style="140" customWidth="1"/>
    <col min="1582" max="1583" width="36.85546875" style="140" customWidth="1"/>
    <col min="1584" max="1584" width="36.5703125" style="140" customWidth="1"/>
    <col min="1585" max="1586" width="36.85546875" style="140" customWidth="1"/>
    <col min="1587" max="1587" width="36.5703125" style="140" customWidth="1"/>
    <col min="1588" max="1588" width="37" style="140" customWidth="1"/>
    <col min="1589" max="1607" width="36.85546875" style="140" customWidth="1"/>
    <col min="1608" max="1608" width="37" style="140" customWidth="1"/>
    <col min="1609" max="1626" width="36.85546875" style="140" customWidth="1"/>
    <col min="1627" max="1627" width="36.5703125" style="140" customWidth="1"/>
    <col min="1628" max="1640" width="36.85546875" style="140" customWidth="1"/>
    <col min="1641" max="1641" width="36.5703125" style="140" customWidth="1"/>
    <col min="1642" max="1644" width="36.85546875" style="140" customWidth="1"/>
    <col min="1645" max="1645" width="36.5703125" style="140" customWidth="1"/>
    <col min="1646" max="1653" width="36.85546875" style="140" customWidth="1"/>
    <col min="1654" max="1654" width="36.5703125" style="140" customWidth="1"/>
    <col min="1655" max="1792" width="36.85546875" style="140"/>
    <col min="1793" max="1793" width="18.5703125" style="140" customWidth="1"/>
    <col min="1794" max="1802" width="31.42578125" style="140" customWidth="1"/>
    <col min="1803" max="1819" width="36.85546875" style="140" customWidth="1"/>
    <col min="1820" max="1820" width="37" style="140" customWidth="1"/>
    <col min="1821" max="1836" width="36.85546875" style="140" customWidth="1"/>
    <col min="1837" max="1837" width="37.140625" style="140" customWidth="1"/>
    <col min="1838" max="1839" width="36.85546875" style="140" customWidth="1"/>
    <col min="1840" max="1840" width="36.5703125" style="140" customWidth="1"/>
    <col min="1841" max="1842" width="36.85546875" style="140" customWidth="1"/>
    <col min="1843" max="1843" width="36.5703125" style="140" customWidth="1"/>
    <col min="1844" max="1844" width="37" style="140" customWidth="1"/>
    <col min="1845" max="1863" width="36.85546875" style="140" customWidth="1"/>
    <col min="1864" max="1864" width="37" style="140" customWidth="1"/>
    <col min="1865" max="1882" width="36.85546875" style="140" customWidth="1"/>
    <col min="1883" max="1883" width="36.5703125" style="140" customWidth="1"/>
    <col min="1884" max="1896" width="36.85546875" style="140" customWidth="1"/>
    <col min="1897" max="1897" width="36.5703125" style="140" customWidth="1"/>
    <col min="1898" max="1900" width="36.85546875" style="140" customWidth="1"/>
    <col min="1901" max="1901" width="36.5703125" style="140" customWidth="1"/>
    <col min="1902" max="1909" width="36.85546875" style="140" customWidth="1"/>
    <col min="1910" max="1910" width="36.5703125" style="140" customWidth="1"/>
    <col min="1911" max="2048" width="36.85546875" style="140"/>
    <col min="2049" max="2049" width="18.5703125" style="140" customWidth="1"/>
    <col min="2050" max="2058" width="31.42578125" style="140" customWidth="1"/>
    <col min="2059" max="2075" width="36.85546875" style="140" customWidth="1"/>
    <col min="2076" max="2076" width="37" style="140" customWidth="1"/>
    <col min="2077" max="2092" width="36.85546875" style="140" customWidth="1"/>
    <col min="2093" max="2093" width="37.140625" style="140" customWidth="1"/>
    <col min="2094" max="2095" width="36.85546875" style="140" customWidth="1"/>
    <col min="2096" max="2096" width="36.5703125" style="140" customWidth="1"/>
    <col min="2097" max="2098" width="36.85546875" style="140" customWidth="1"/>
    <col min="2099" max="2099" width="36.5703125" style="140" customWidth="1"/>
    <col min="2100" max="2100" width="37" style="140" customWidth="1"/>
    <col min="2101" max="2119" width="36.85546875" style="140" customWidth="1"/>
    <col min="2120" max="2120" width="37" style="140" customWidth="1"/>
    <col min="2121" max="2138" width="36.85546875" style="140" customWidth="1"/>
    <col min="2139" max="2139" width="36.5703125" style="140" customWidth="1"/>
    <col min="2140" max="2152" width="36.85546875" style="140" customWidth="1"/>
    <col min="2153" max="2153" width="36.5703125" style="140" customWidth="1"/>
    <col min="2154" max="2156" width="36.85546875" style="140" customWidth="1"/>
    <col min="2157" max="2157" width="36.5703125" style="140" customWidth="1"/>
    <col min="2158" max="2165" width="36.85546875" style="140" customWidth="1"/>
    <col min="2166" max="2166" width="36.5703125" style="140" customWidth="1"/>
    <col min="2167" max="2304" width="36.85546875" style="140"/>
    <col min="2305" max="2305" width="18.5703125" style="140" customWidth="1"/>
    <col min="2306" max="2314" width="31.42578125" style="140" customWidth="1"/>
    <col min="2315" max="2331" width="36.85546875" style="140" customWidth="1"/>
    <col min="2332" max="2332" width="37" style="140" customWidth="1"/>
    <col min="2333" max="2348" width="36.85546875" style="140" customWidth="1"/>
    <col min="2349" max="2349" width="37.140625" style="140" customWidth="1"/>
    <col min="2350" max="2351" width="36.85546875" style="140" customWidth="1"/>
    <col min="2352" max="2352" width="36.5703125" style="140" customWidth="1"/>
    <col min="2353" max="2354" width="36.85546875" style="140" customWidth="1"/>
    <col min="2355" max="2355" width="36.5703125" style="140" customWidth="1"/>
    <col min="2356" max="2356" width="37" style="140" customWidth="1"/>
    <col min="2357" max="2375" width="36.85546875" style="140" customWidth="1"/>
    <col min="2376" max="2376" width="37" style="140" customWidth="1"/>
    <col min="2377" max="2394" width="36.85546875" style="140" customWidth="1"/>
    <col min="2395" max="2395" width="36.5703125" style="140" customWidth="1"/>
    <col min="2396" max="2408" width="36.85546875" style="140" customWidth="1"/>
    <col min="2409" max="2409" width="36.5703125" style="140" customWidth="1"/>
    <col min="2410" max="2412" width="36.85546875" style="140" customWidth="1"/>
    <col min="2413" max="2413" width="36.5703125" style="140" customWidth="1"/>
    <col min="2414" max="2421" width="36.85546875" style="140" customWidth="1"/>
    <col min="2422" max="2422" width="36.5703125" style="140" customWidth="1"/>
    <col min="2423" max="2560" width="36.85546875" style="140"/>
    <col min="2561" max="2561" width="18.5703125" style="140" customWidth="1"/>
    <col min="2562" max="2570" width="31.42578125" style="140" customWidth="1"/>
    <col min="2571" max="2587" width="36.85546875" style="140" customWidth="1"/>
    <col min="2588" max="2588" width="37" style="140" customWidth="1"/>
    <col min="2589" max="2604" width="36.85546875" style="140" customWidth="1"/>
    <col min="2605" max="2605" width="37.140625" style="140" customWidth="1"/>
    <col min="2606" max="2607" width="36.85546875" style="140" customWidth="1"/>
    <col min="2608" max="2608" width="36.5703125" style="140" customWidth="1"/>
    <col min="2609" max="2610" width="36.85546875" style="140" customWidth="1"/>
    <col min="2611" max="2611" width="36.5703125" style="140" customWidth="1"/>
    <col min="2612" max="2612" width="37" style="140" customWidth="1"/>
    <col min="2613" max="2631" width="36.85546875" style="140" customWidth="1"/>
    <col min="2632" max="2632" width="37" style="140" customWidth="1"/>
    <col min="2633" max="2650" width="36.85546875" style="140" customWidth="1"/>
    <col min="2651" max="2651" width="36.5703125" style="140" customWidth="1"/>
    <col min="2652" max="2664" width="36.85546875" style="140" customWidth="1"/>
    <col min="2665" max="2665" width="36.5703125" style="140" customWidth="1"/>
    <col min="2666" max="2668" width="36.85546875" style="140" customWidth="1"/>
    <col min="2669" max="2669" width="36.5703125" style="140" customWidth="1"/>
    <col min="2670" max="2677" width="36.85546875" style="140" customWidth="1"/>
    <col min="2678" max="2678" width="36.5703125" style="140" customWidth="1"/>
    <col min="2679" max="2816" width="36.85546875" style="140"/>
    <col min="2817" max="2817" width="18.5703125" style="140" customWidth="1"/>
    <col min="2818" max="2826" width="31.42578125" style="140" customWidth="1"/>
    <col min="2827" max="2843" width="36.85546875" style="140" customWidth="1"/>
    <col min="2844" max="2844" width="37" style="140" customWidth="1"/>
    <col min="2845" max="2860" width="36.85546875" style="140" customWidth="1"/>
    <col min="2861" max="2861" width="37.140625" style="140" customWidth="1"/>
    <col min="2862" max="2863" width="36.85546875" style="140" customWidth="1"/>
    <col min="2864" max="2864" width="36.5703125" style="140" customWidth="1"/>
    <col min="2865" max="2866" width="36.85546875" style="140" customWidth="1"/>
    <col min="2867" max="2867" width="36.5703125" style="140" customWidth="1"/>
    <col min="2868" max="2868" width="37" style="140" customWidth="1"/>
    <col min="2869" max="2887" width="36.85546875" style="140" customWidth="1"/>
    <col min="2888" max="2888" width="37" style="140" customWidth="1"/>
    <col min="2889" max="2906" width="36.85546875" style="140" customWidth="1"/>
    <col min="2907" max="2907" width="36.5703125" style="140" customWidth="1"/>
    <col min="2908" max="2920" width="36.85546875" style="140" customWidth="1"/>
    <col min="2921" max="2921" width="36.5703125" style="140" customWidth="1"/>
    <col min="2922" max="2924" width="36.85546875" style="140" customWidth="1"/>
    <col min="2925" max="2925" width="36.5703125" style="140" customWidth="1"/>
    <col min="2926" max="2933" width="36.85546875" style="140" customWidth="1"/>
    <col min="2934" max="2934" width="36.5703125" style="140" customWidth="1"/>
    <col min="2935" max="3072" width="36.85546875" style="140"/>
    <col min="3073" max="3073" width="18.5703125" style="140" customWidth="1"/>
    <col min="3074" max="3082" width="31.42578125" style="140" customWidth="1"/>
    <col min="3083" max="3099" width="36.85546875" style="140" customWidth="1"/>
    <col min="3100" max="3100" width="37" style="140" customWidth="1"/>
    <col min="3101" max="3116" width="36.85546875" style="140" customWidth="1"/>
    <col min="3117" max="3117" width="37.140625" style="140" customWidth="1"/>
    <col min="3118" max="3119" width="36.85546875" style="140" customWidth="1"/>
    <col min="3120" max="3120" width="36.5703125" style="140" customWidth="1"/>
    <col min="3121" max="3122" width="36.85546875" style="140" customWidth="1"/>
    <col min="3123" max="3123" width="36.5703125" style="140" customWidth="1"/>
    <col min="3124" max="3124" width="37" style="140" customWidth="1"/>
    <col min="3125" max="3143" width="36.85546875" style="140" customWidth="1"/>
    <col min="3144" max="3144" width="37" style="140" customWidth="1"/>
    <col min="3145" max="3162" width="36.85546875" style="140" customWidth="1"/>
    <col min="3163" max="3163" width="36.5703125" style="140" customWidth="1"/>
    <col min="3164" max="3176" width="36.85546875" style="140" customWidth="1"/>
    <col min="3177" max="3177" width="36.5703125" style="140" customWidth="1"/>
    <col min="3178" max="3180" width="36.85546875" style="140" customWidth="1"/>
    <col min="3181" max="3181" width="36.5703125" style="140" customWidth="1"/>
    <col min="3182" max="3189" width="36.85546875" style="140" customWidth="1"/>
    <col min="3190" max="3190" width="36.5703125" style="140" customWidth="1"/>
    <col min="3191" max="3328" width="36.85546875" style="140"/>
    <col min="3329" max="3329" width="18.5703125" style="140" customWidth="1"/>
    <col min="3330" max="3338" width="31.42578125" style="140" customWidth="1"/>
    <col min="3339" max="3355" width="36.85546875" style="140" customWidth="1"/>
    <col min="3356" max="3356" width="37" style="140" customWidth="1"/>
    <col min="3357" max="3372" width="36.85546875" style="140" customWidth="1"/>
    <col min="3373" max="3373" width="37.140625" style="140" customWidth="1"/>
    <col min="3374" max="3375" width="36.85546875" style="140" customWidth="1"/>
    <col min="3376" max="3376" width="36.5703125" style="140" customWidth="1"/>
    <col min="3377" max="3378" width="36.85546875" style="140" customWidth="1"/>
    <col min="3379" max="3379" width="36.5703125" style="140" customWidth="1"/>
    <col min="3380" max="3380" width="37" style="140" customWidth="1"/>
    <col min="3381" max="3399" width="36.85546875" style="140" customWidth="1"/>
    <col min="3400" max="3400" width="37" style="140" customWidth="1"/>
    <col min="3401" max="3418" width="36.85546875" style="140" customWidth="1"/>
    <col min="3419" max="3419" width="36.5703125" style="140" customWidth="1"/>
    <col min="3420" max="3432" width="36.85546875" style="140" customWidth="1"/>
    <col min="3433" max="3433" width="36.5703125" style="140" customWidth="1"/>
    <col min="3434" max="3436" width="36.85546875" style="140" customWidth="1"/>
    <col min="3437" max="3437" width="36.5703125" style="140" customWidth="1"/>
    <col min="3438" max="3445" width="36.85546875" style="140" customWidth="1"/>
    <col min="3446" max="3446" width="36.5703125" style="140" customWidth="1"/>
    <col min="3447" max="3584" width="36.85546875" style="140"/>
    <col min="3585" max="3585" width="18.5703125" style="140" customWidth="1"/>
    <col min="3586" max="3594" width="31.42578125" style="140" customWidth="1"/>
    <col min="3595" max="3611" width="36.85546875" style="140" customWidth="1"/>
    <col min="3612" max="3612" width="37" style="140" customWidth="1"/>
    <col min="3613" max="3628" width="36.85546875" style="140" customWidth="1"/>
    <col min="3629" max="3629" width="37.140625" style="140" customWidth="1"/>
    <col min="3630" max="3631" width="36.85546875" style="140" customWidth="1"/>
    <col min="3632" max="3632" width="36.5703125" style="140" customWidth="1"/>
    <col min="3633" max="3634" width="36.85546875" style="140" customWidth="1"/>
    <col min="3635" max="3635" width="36.5703125" style="140" customWidth="1"/>
    <col min="3636" max="3636" width="37" style="140" customWidth="1"/>
    <col min="3637" max="3655" width="36.85546875" style="140" customWidth="1"/>
    <col min="3656" max="3656" width="37" style="140" customWidth="1"/>
    <col min="3657" max="3674" width="36.85546875" style="140" customWidth="1"/>
    <col min="3675" max="3675" width="36.5703125" style="140" customWidth="1"/>
    <col min="3676" max="3688" width="36.85546875" style="140" customWidth="1"/>
    <col min="3689" max="3689" width="36.5703125" style="140" customWidth="1"/>
    <col min="3690" max="3692" width="36.85546875" style="140" customWidth="1"/>
    <col min="3693" max="3693" width="36.5703125" style="140" customWidth="1"/>
    <col min="3694" max="3701" width="36.85546875" style="140" customWidth="1"/>
    <col min="3702" max="3702" width="36.5703125" style="140" customWidth="1"/>
    <col min="3703" max="3840" width="36.85546875" style="140"/>
    <col min="3841" max="3841" width="18.5703125" style="140" customWidth="1"/>
    <col min="3842" max="3850" width="31.42578125" style="140" customWidth="1"/>
    <col min="3851" max="3867" width="36.85546875" style="140" customWidth="1"/>
    <col min="3868" max="3868" width="37" style="140" customWidth="1"/>
    <col min="3869" max="3884" width="36.85546875" style="140" customWidth="1"/>
    <col min="3885" max="3885" width="37.140625" style="140" customWidth="1"/>
    <col min="3886" max="3887" width="36.85546875" style="140" customWidth="1"/>
    <col min="3888" max="3888" width="36.5703125" style="140" customWidth="1"/>
    <col min="3889" max="3890" width="36.85546875" style="140" customWidth="1"/>
    <col min="3891" max="3891" width="36.5703125" style="140" customWidth="1"/>
    <col min="3892" max="3892" width="37" style="140" customWidth="1"/>
    <col min="3893" max="3911" width="36.85546875" style="140" customWidth="1"/>
    <col min="3912" max="3912" width="37" style="140" customWidth="1"/>
    <col min="3913" max="3930" width="36.85546875" style="140" customWidth="1"/>
    <col min="3931" max="3931" width="36.5703125" style="140" customWidth="1"/>
    <col min="3932" max="3944" width="36.85546875" style="140" customWidth="1"/>
    <col min="3945" max="3945" width="36.5703125" style="140" customWidth="1"/>
    <col min="3946" max="3948" width="36.85546875" style="140" customWidth="1"/>
    <col min="3949" max="3949" width="36.5703125" style="140" customWidth="1"/>
    <col min="3950" max="3957" width="36.85546875" style="140" customWidth="1"/>
    <col min="3958" max="3958" width="36.5703125" style="140" customWidth="1"/>
    <col min="3959" max="4096" width="36.85546875" style="140"/>
    <col min="4097" max="4097" width="18.5703125" style="140" customWidth="1"/>
    <col min="4098" max="4106" width="31.42578125" style="140" customWidth="1"/>
    <col min="4107" max="4123" width="36.85546875" style="140" customWidth="1"/>
    <col min="4124" max="4124" width="37" style="140" customWidth="1"/>
    <col min="4125" max="4140" width="36.85546875" style="140" customWidth="1"/>
    <col min="4141" max="4141" width="37.140625" style="140" customWidth="1"/>
    <col min="4142" max="4143" width="36.85546875" style="140" customWidth="1"/>
    <col min="4144" max="4144" width="36.5703125" style="140" customWidth="1"/>
    <col min="4145" max="4146" width="36.85546875" style="140" customWidth="1"/>
    <col min="4147" max="4147" width="36.5703125" style="140" customWidth="1"/>
    <col min="4148" max="4148" width="37" style="140" customWidth="1"/>
    <col min="4149" max="4167" width="36.85546875" style="140" customWidth="1"/>
    <col min="4168" max="4168" width="37" style="140" customWidth="1"/>
    <col min="4169" max="4186" width="36.85546875" style="140" customWidth="1"/>
    <col min="4187" max="4187" width="36.5703125" style="140" customWidth="1"/>
    <col min="4188" max="4200" width="36.85546875" style="140" customWidth="1"/>
    <col min="4201" max="4201" width="36.5703125" style="140" customWidth="1"/>
    <col min="4202" max="4204" width="36.85546875" style="140" customWidth="1"/>
    <col min="4205" max="4205" width="36.5703125" style="140" customWidth="1"/>
    <col min="4206" max="4213" width="36.85546875" style="140" customWidth="1"/>
    <col min="4214" max="4214" width="36.5703125" style="140" customWidth="1"/>
    <col min="4215" max="4352" width="36.85546875" style="140"/>
    <col min="4353" max="4353" width="18.5703125" style="140" customWidth="1"/>
    <col min="4354" max="4362" width="31.42578125" style="140" customWidth="1"/>
    <col min="4363" max="4379" width="36.85546875" style="140" customWidth="1"/>
    <col min="4380" max="4380" width="37" style="140" customWidth="1"/>
    <col min="4381" max="4396" width="36.85546875" style="140" customWidth="1"/>
    <col min="4397" max="4397" width="37.140625" style="140" customWidth="1"/>
    <col min="4398" max="4399" width="36.85546875" style="140" customWidth="1"/>
    <col min="4400" max="4400" width="36.5703125" style="140" customWidth="1"/>
    <col min="4401" max="4402" width="36.85546875" style="140" customWidth="1"/>
    <col min="4403" max="4403" width="36.5703125" style="140" customWidth="1"/>
    <col min="4404" max="4404" width="37" style="140" customWidth="1"/>
    <col min="4405" max="4423" width="36.85546875" style="140" customWidth="1"/>
    <col min="4424" max="4424" width="37" style="140" customWidth="1"/>
    <col min="4425" max="4442" width="36.85546875" style="140" customWidth="1"/>
    <col min="4443" max="4443" width="36.5703125" style="140" customWidth="1"/>
    <col min="4444" max="4456" width="36.85546875" style="140" customWidth="1"/>
    <col min="4457" max="4457" width="36.5703125" style="140" customWidth="1"/>
    <col min="4458" max="4460" width="36.85546875" style="140" customWidth="1"/>
    <col min="4461" max="4461" width="36.5703125" style="140" customWidth="1"/>
    <col min="4462" max="4469" width="36.85546875" style="140" customWidth="1"/>
    <col min="4470" max="4470" width="36.5703125" style="140" customWidth="1"/>
    <col min="4471" max="4608" width="36.85546875" style="140"/>
    <col min="4609" max="4609" width="18.5703125" style="140" customWidth="1"/>
    <col min="4610" max="4618" width="31.42578125" style="140" customWidth="1"/>
    <col min="4619" max="4635" width="36.85546875" style="140" customWidth="1"/>
    <col min="4636" max="4636" width="37" style="140" customWidth="1"/>
    <col min="4637" max="4652" width="36.85546875" style="140" customWidth="1"/>
    <col min="4653" max="4653" width="37.140625" style="140" customWidth="1"/>
    <col min="4654" max="4655" width="36.85546875" style="140" customWidth="1"/>
    <col min="4656" max="4656" width="36.5703125" style="140" customWidth="1"/>
    <col min="4657" max="4658" width="36.85546875" style="140" customWidth="1"/>
    <col min="4659" max="4659" width="36.5703125" style="140" customWidth="1"/>
    <col min="4660" max="4660" width="37" style="140" customWidth="1"/>
    <col min="4661" max="4679" width="36.85546875" style="140" customWidth="1"/>
    <col min="4680" max="4680" width="37" style="140" customWidth="1"/>
    <col min="4681" max="4698" width="36.85546875" style="140" customWidth="1"/>
    <col min="4699" max="4699" width="36.5703125" style="140" customWidth="1"/>
    <col min="4700" max="4712" width="36.85546875" style="140" customWidth="1"/>
    <col min="4713" max="4713" width="36.5703125" style="140" customWidth="1"/>
    <col min="4714" max="4716" width="36.85546875" style="140" customWidth="1"/>
    <col min="4717" max="4717" width="36.5703125" style="140" customWidth="1"/>
    <col min="4718" max="4725" width="36.85546875" style="140" customWidth="1"/>
    <col min="4726" max="4726" width="36.5703125" style="140" customWidth="1"/>
    <col min="4727" max="4864" width="36.85546875" style="140"/>
    <col min="4865" max="4865" width="18.5703125" style="140" customWidth="1"/>
    <col min="4866" max="4874" width="31.42578125" style="140" customWidth="1"/>
    <col min="4875" max="4891" width="36.85546875" style="140" customWidth="1"/>
    <col min="4892" max="4892" width="37" style="140" customWidth="1"/>
    <col min="4893" max="4908" width="36.85546875" style="140" customWidth="1"/>
    <col min="4909" max="4909" width="37.140625" style="140" customWidth="1"/>
    <col min="4910" max="4911" width="36.85546875" style="140" customWidth="1"/>
    <col min="4912" max="4912" width="36.5703125" style="140" customWidth="1"/>
    <col min="4913" max="4914" width="36.85546875" style="140" customWidth="1"/>
    <col min="4915" max="4915" width="36.5703125" style="140" customWidth="1"/>
    <col min="4916" max="4916" width="37" style="140" customWidth="1"/>
    <col min="4917" max="4935" width="36.85546875" style="140" customWidth="1"/>
    <col min="4936" max="4936" width="37" style="140" customWidth="1"/>
    <col min="4937" max="4954" width="36.85546875" style="140" customWidth="1"/>
    <col min="4955" max="4955" width="36.5703125" style="140" customWidth="1"/>
    <col min="4956" max="4968" width="36.85546875" style="140" customWidth="1"/>
    <col min="4969" max="4969" width="36.5703125" style="140" customWidth="1"/>
    <col min="4970" max="4972" width="36.85546875" style="140" customWidth="1"/>
    <col min="4973" max="4973" width="36.5703125" style="140" customWidth="1"/>
    <col min="4974" max="4981" width="36.85546875" style="140" customWidth="1"/>
    <col min="4982" max="4982" width="36.5703125" style="140" customWidth="1"/>
    <col min="4983" max="5120" width="36.85546875" style="140"/>
    <col min="5121" max="5121" width="18.5703125" style="140" customWidth="1"/>
    <col min="5122" max="5130" width="31.42578125" style="140" customWidth="1"/>
    <col min="5131" max="5147" width="36.85546875" style="140" customWidth="1"/>
    <col min="5148" max="5148" width="37" style="140" customWidth="1"/>
    <col min="5149" max="5164" width="36.85546875" style="140" customWidth="1"/>
    <col min="5165" max="5165" width="37.140625" style="140" customWidth="1"/>
    <col min="5166" max="5167" width="36.85546875" style="140" customWidth="1"/>
    <col min="5168" max="5168" width="36.5703125" style="140" customWidth="1"/>
    <col min="5169" max="5170" width="36.85546875" style="140" customWidth="1"/>
    <col min="5171" max="5171" width="36.5703125" style="140" customWidth="1"/>
    <col min="5172" max="5172" width="37" style="140" customWidth="1"/>
    <col min="5173" max="5191" width="36.85546875" style="140" customWidth="1"/>
    <col min="5192" max="5192" width="37" style="140" customWidth="1"/>
    <col min="5193" max="5210" width="36.85546875" style="140" customWidth="1"/>
    <col min="5211" max="5211" width="36.5703125" style="140" customWidth="1"/>
    <col min="5212" max="5224" width="36.85546875" style="140" customWidth="1"/>
    <col min="5225" max="5225" width="36.5703125" style="140" customWidth="1"/>
    <col min="5226" max="5228" width="36.85546875" style="140" customWidth="1"/>
    <col min="5229" max="5229" width="36.5703125" style="140" customWidth="1"/>
    <col min="5230" max="5237" width="36.85546875" style="140" customWidth="1"/>
    <col min="5238" max="5238" width="36.5703125" style="140" customWidth="1"/>
    <col min="5239" max="5376" width="36.85546875" style="140"/>
    <col min="5377" max="5377" width="18.5703125" style="140" customWidth="1"/>
    <col min="5378" max="5386" width="31.42578125" style="140" customWidth="1"/>
    <col min="5387" max="5403" width="36.85546875" style="140" customWidth="1"/>
    <col min="5404" max="5404" width="37" style="140" customWidth="1"/>
    <col min="5405" max="5420" width="36.85546875" style="140" customWidth="1"/>
    <col min="5421" max="5421" width="37.140625" style="140" customWidth="1"/>
    <col min="5422" max="5423" width="36.85546875" style="140" customWidth="1"/>
    <col min="5424" max="5424" width="36.5703125" style="140" customWidth="1"/>
    <col min="5425" max="5426" width="36.85546875" style="140" customWidth="1"/>
    <col min="5427" max="5427" width="36.5703125" style="140" customWidth="1"/>
    <col min="5428" max="5428" width="37" style="140" customWidth="1"/>
    <col min="5429" max="5447" width="36.85546875" style="140" customWidth="1"/>
    <col min="5448" max="5448" width="37" style="140" customWidth="1"/>
    <col min="5449" max="5466" width="36.85546875" style="140" customWidth="1"/>
    <col min="5467" max="5467" width="36.5703125" style="140" customWidth="1"/>
    <col min="5468" max="5480" width="36.85546875" style="140" customWidth="1"/>
    <col min="5481" max="5481" width="36.5703125" style="140" customWidth="1"/>
    <col min="5482" max="5484" width="36.85546875" style="140" customWidth="1"/>
    <col min="5485" max="5485" width="36.5703125" style="140" customWidth="1"/>
    <col min="5486" max="5493" width="36.85546875" style="140" customWidth="1"/>
    <col min="5494" max="5494" width="36.5703125" style="140" customWidth="1"/>
    <col min="5495" max="5632" width="36.85546875" style="140"/>
    <col min="5633" max="5633" width="18.5703125" style="140" customWidth="1"/>
    <col min="5634" max="5642" width="31.42578125" style="140" customWidth="1"/>
    <col min="5643" max="5659" width="36.85546875" style="140" customWidth="1"/>
    <col min="5660" max="5660" width="37" style="140" customWidth="1"/>
    <col min="5661" max="5676" width="36.85546875" style="140" customWidth="1"/>
    <col min="5677" max="5677" width="37.140625" style="140" customWidth="1"/>
    <col min="5678" max="5679" width="36.85546875" style="140" customWidth="1"/>
    <col min="5680" max="5680" width="36.5703125" style="140" customWidth="1"/>
    <col min="5681" max="5682" width="36.85546875" style="140" customWidth="1"/>
    <col min="5683" max="5683" width="36.5703125" style="140" customWidth="1"/>
    <col min="5684" max="5684" width="37" style="140" customWidth="1"/>
    <col min="5685" max="5703" width="36.85546875" style="140" customWidth="1"/>
    <col min="5704" max="5704" width="37" style="140" customWidth="1"/>
    <col min="5705" max="5722" width="36.85546875" style="140" customWidth="1"/>
    <col min="5723" max="5723" width="36.5703125" style="140" customWidth="1"/>
    <col min="5724" max="5736" width="36.85546875" style="140" customWidth="1"/>
    <col min="5737" max="5737" width="36.5703125" style="140" customWidth="1"/>
    <col min="5738" max="5740" width="36.85546875" style="140" customWidth="1"/>
    <col min="5741" max="5741" width="36.5703125" style="140" customWidth="1"/>
    <col min="5742" max="5749" width="36.85546875" style="140" customWidth="1"/>
    <col min="5750" max="5750" width="36.5703125" style="140" customWidth="1"/>
    <col min="5751" max="5888" width="36.85546875" style="140"/>
    <col min="5889" max="5889" width="18.5703125" style="140" customWidth="1"/>
    <col min="5890" max="5898" width="31.42578125" style="140" customWidth="1"/>
    <col min="5899" max="5915" width="36.85546875" style="140" customWidth="1"/>
    <col min="5916" max="5916" width="37" style="140" customWidth="1"/>
    <col min="5917" max="5932" width="36.85546875" style="140" customWidth="1"/>
    <col min="5933" max="5933" width="37.140625" style="140" customWidth="1"/>
    <col min="5934" max="5935" width="36.85546875" style="140" customWidth="1"/>
    <col min="5936" max="5936" width="36.5703125" style="140" customWidth="1"/>
    <col min="5937" max="5938" width="36.85546875" style="140" customWidth="1"/>
    <col min="5939" max="5939" width="36.5703125" style="140" customWidth="1"/>
    <col min="5940" max="5940" width="37" style="140" customWidth="1"/>
    <col min="5941" max="5959" width="36.85546875" style="140" customWidth="1"/>
    <col min="5960" max="5960" width="37" style="140" customWidth="1"/>
    <col min="5961" max="5978" width="36.85546875" style="140" customWidth="1"/>
    <col min="5979" max="5979" width="36.5703125" style="140" customWidth="1"/>
    <col min="5980" max="5992" width="36.85546875" style="140" customWidth="1"/>
    <col min="5993" max="5993" width="36.5703125" style="140" customWidth="1"/>
    <col min="5994" max="5996" width="36.85546875" style="140" customWidth="1"/>
    <col min="5997" max="5997" width="36.5703125" style="140" customWidth="1"/>
    <col min="5998" max="6005" width="36.85546875" style="140" customWidth="1"/>
    <col min="6006" max="6006" width="36.5703125" style="140" customWidth="1"/>
    <col min="6007" max="6144" width="36.85546875" style="140"/>
    <col min="6145" max="6145" width="18.5703125" style="140" customWidth="1"/>
    <col min="6146" max="6154" width="31.42578125" style="140" customWidth="1"/>
    <col min="6155" max="6171" width="36.85546875" style="140" customWidth="1"/>
    <col min="6172" max="6172" width="37" style="140" customWidth="1"/>
    <col min="6173" max="6188" width="36.85546875" style="140" customWidth="1"/>
    <col min="6189" max="6189" width="37.140625" style="140" customWidth="1"/>
    <col min="6190" max="6191" width="36.85546875" style="140" customWidth="1"/>
    <col min="6192" max="6192" width="36.5703125" style="140" customWidth="1"/>
    <col min="6193" max="6194" width="36.85546875" style="140" customWidth="1"/>
    <col min="6195" max="6195" width="36.5703125" style="140" customWidth="1"/>
    <col min="6196" max="6196" width="37" style="140" customWidth="1"/>
    <col min="6197" max="6215" width="36.85546875" style="140" customWidth="1"/>
    <col min="6216" max="6216" width="37" style="140" customWidth="1"/>
    <col min="6217" max="6234" width="36.85546875" style="140" customWidth="1"/>
    <col min="6235" max="6235" width="36.5703125" style="140" customWidth="1"/>
    <col min="6236" max="6248" width="36.85546875" style="140" customWidth="1"/>
    <col min="6249" max="6249" width="36.5703125" style="140" customWidth="1"/>
    <col min="6250" max="6252" width="36.85546875" style="140" customWidth="1"/>
    <col min="6253" max="6253" width="36.5703125" style="140" customWidth="1"/>
    <col min="6254" max="6261" width="36.85546875" style="140" customWidth="1"/>
    <col min="6262" max="6262" width="36.5703125" style="140" customWidth="1"/>
    <col min="6263" max="6400" width="36.85546875" style="140"/>
    <col min="6401" max="6401" width="18.5703125" style="140" customWidth="1"/>
    <col min="6402" max="6410" width="31.42578125" style="140" customWidth="1"/>
    <col min="6411" max="6427" width="36.85546875" style="140" customWidth="1"/>
    <col min="6428" max="6428" width="37" style="140" customWidth="1"/>
    <col min="6429" max="6444" width="36.85546875" style="140" customWidth="1"/>
    <col min="6445" max="6445" width="37.140625" style="140" customWidth="1"/>
    <col min="6446" max="6447" width="36.85546875" style="140" customWidth="1"/>
    <col min="6448" max="6448" width="36.5703125" style="140" customWidth="1"/>
    <col min="6449" max="6450" width="36.85546875" style="140" customWidth="1"/>
    <col min="6451" max="6451" width="36.5703125" style="140" customWidth="1"/>
    <col min="6452" max="6452" width="37" style="140" customWidth="1"/>
    <col min="6453" max="6471" width="36.85546875" style="140" customWidth="1"/>
    <col min="6472" max="6472" width="37" style="140" customWidth="1"/>
    <col min="6473" max="6490" width="36.85546875" style="140" customWidth="1"/>
    <col min="6491" max="6491" width="36.5703125" style="140" customWidth="1"/>
    <col min="6492" max="6504" width="36.85546875" style="140" customWidth="1"/>
    <col min="6505" max="6505" width="36.5703125" style="140" customWidth="1"/>
    <col min="6506" max="6508" width="36.85546875" style="140" customWidth="1"/>
    <col min="6509" max="6509" width="36.5703125" style="140" customWidth="1"/>
    <col min="6510" max="6517" width="36.85546875" style="140" customWidth="1"/>
    <col min="6518" max="6518" width="36.5703125" style="140" customWidth="1"/>
    <col min="6519" max="6656" width="36.85546875" style="140"/>
    <col min="6657" max="6657" width="18.5703125" style="140" customWidth="1"/>
    <col min="6658" max="6666" width="31.42578125" style="140" customWidth="1"/>
    <col min="6667" max="6683" width="36.85546875" style="140" customWidth="1"/>
    <col min="6684" max="6684" width="37" style="140" customWidth="1"/>
    <col min="6685" max="6700" width="36.85546875" style="140" customWidth="1"/>
    <col min="6701" max="6701" width="37.140625" style="140" customWidth="1"/>
    <col min="6702" max="6703" width="36.85546875" style="140" customWidth="1"/>
    <col min="6704" max="6704" width="36.5703125" style="140" customWidth="1"/>
    <col min="6705" max="6706" width="36.85546875" style="140" customWidth="1"/>
    <col min="6707" max="6707" width="36.5703125" style="140" customWidth="1"/>
    <col min="6708" max="6708" width="37" style="140" customWidth="1"/>
    <col min="6709" max="6727" width="36.85546875" style="140" customWidth="1"/>
    <col min="6728" max="6728" width="37" style="140" customWidth="1"/>
    <col min="6729" max="6746" width="36.85546875" style="140" customWidth="1"/>
    <col min="6747" max="6747" width="36.5703125" style="140" customWidth="1"/>
    <col min="6748" max="6760" width="36.85546875" style="140" customWidth="1"/>
    <col min="6761" max="6761" width="36.5703125" style="140" customWidth="1"/>
    <col min="6762" max="6764" width="36.85546875" style="140" customWidth="1"/>
    <col min="6765" max="6765" width="36.5703125" style="140" customWidth="1"/>
    <col min="6766" max="6773" width="36.85546875" style="140" customWidth="1"/>
    <col min="6774" max="6774" width="36.5703125" style="140" customWidth="1"/>
    <col min="6775" max="6912" width="36.85546875" style="140"/>
    <col min="6913" max="6913" width="18.5703125" style="140" customWidth="1"/>
    <col min="6914" max="6922" width="31.42578125" style="140" customWidth="1"/>
    <col min="6923" max="6939" width="36.85546875" style="140" customWidth="1"/>
    <col min="6940" max="6940" width="37" style="140" customWidth="1"/>
    <col min="6941" max="6956" width="36.85546875" style="140" customWidth="1"/>
    <col min="6957" max="6957" width="37.140625" style="140" customWidth="1"/>
    <col min="6958" max="6959" width="36.85546875" style="140" customWidth="1"/>
    <col min="6960" max="6960" width="36.5703125" style="140" customWidth="1"/>
    <col min="6961" max="6962" width="36.85546875" style="140" customWidth="1"/>
    <col min="6963" max="6963" width="36.5703125" style="140" customWidth="1"/>
    <col min="6964" max="6964" width="37" style="140" customWidth="1"/>
    <col min="6965" max="6983" width="36.85546875" style="140" customWidth="1"/>
    <col min="6984" max="6984" width="37" style="140" customWidth="1"/>
    <col min="6985" max="7002" width="36.85546875" style="140" customWidth="1"/>
    <col min="7003" max="7003" width="36.5703125" style="140" customWidth="1"/>
    <col min="7004" max="7016" width="36.85546875" style="140" customWidth="1"/>
    <col min="7017" max="7017" width="36.5703125" style="140" customWidth="1"/>
    <col min="7018" max="7020" width="36.85546875" style="140" customWidth="1"/>
    <col min="7021" max="7021" width="36.5703125" style="140" customWidth="1"/>
    <col min="7022" max="7029" width="36.85546875" style="140" customWidth="1"/>
    <col min="7030" max="7030" width="36.5703125" style="140" customWidth="1"/>
    <col min="7031" max="7168" width="36.85546875" style="140"/>
    <col min="7169" max="7169" width="18.5703125" style="140" customWidth="1"/>
    <col min="7170" max="7178" width="31.42578125" style="140" customWidth="1"/>
    <col min="7179" max="7195" width="36.85546875" style="140" customWidth="1"/>
    <col min="7196" max="7196" width="37" style="140" customWidth="1"/>
    <col min="7197" max="7212" width="36.85546875" style="140" customWidth="1"/>
    <col min="7213" max="7213" width="37.140625" style="140" customWidth="1"/>
    <col min="7214" max="7215" width="36.85546875" style="140" customWidth="1"/>
    <col min="7216" max="7216" width="36.5703125" style="140" customWidth="1"/>
    <col min="7217" max="7218" width="36.85546875" style="140" customWidth="1"/>
    <col min="7219" max="7219" width="36.5703125" style="140" customWidth="1"/>
    <col min="7220" max="7220" width="37" style="140" customWidth="1"/>
    <col min="7221" max="7239" width="36.85546875" style="140" customWidth="1"/>
    <col min="7240" max="7240" width="37" style="140" customWidth="1"/>
    <col min="7241" max="7258" width="36.85546875" style="140" customWidth="1"/>
    <col min="7259" max="7259" width="36.5703125" style="140" customWidth="1"/>
    <col min="7260" max="7272" width="36.85546875" style="140" customWidth="1"/>
    <col min="7273" max="7273" width="36.5703125" style="140" customWidth="1"/>
    <col min="7274" max="7276" width="36.85546875" style="140" customWidth="1"/>
    <col min="7277" max="7277" width="36.5703125" style="140" customWidth="1"/>
    <col min="7278" max="7285" width="36.85546875" style="140" customWidth="1"/>
    <col min="7286" max="7286" width="36.5703125" style="140" customWidth="1"/>
    <col min="7287" max="7424" width="36.85546875" style="140"/>
    <col min="7425" max="7425" width="18.5703125" style="140" customWidth="1"/>
    <col min="7426" max="7434" width="31.42578125" style="140" customWidth="1"/>
    <col min="7435" max="7451" width="36.85546875" style="140" customWidth="1"/>
    <col min="7452" max="7452" width="37" style="140" customWidth="1"/>
    <col min="7453" max="7468" width="36.85546875" style="140" customWidth="1"/>
    <col min="7469" max="7469" width="37.140625" style="140" customWidth="1"/>
    <col min="7470" max="7471" width="36.85546875" style="140" customWidth="1"/>
    <col min="7472" max="7472" width="36.5703125" style="140" customWidth="1"/>
    <col min="7473" max="7474" width="36.85546875" style="140" customWidth="1"/>
    <col min="7475" max="7475" width="36.5703125" style="140" customWidth="1"/>
    <col min="7476" max="7476" width="37" style="140" customWidth="1"/>
    <col min="7477" max="7495" width="36.85546875" style="140" customWidth="1"/>
    <col min="7496" max="7496" width="37" style="140" customWidth="1"/>
    <col min="7497" max="7514" width="36.85546875" style="140" customWidth="1"/>
    <col min="7515" max="7515" width="36.5703125" style="140" customWidth="1"/>
    <col min="7516" max="7528" width="36.85546875" style="140" customWidth="1"/>
    <col min="7529" max="7529" width="36.5703125" style="140" customWidth="1"/>
    <col min="7530" max="7532" width="36.85546875" style="140" customWidth="1"/>
    <col min="7533" max="7533" width="36.5703125" style="140" customWidth="1"/>
    <col min="7534" max="7541" width="36.85546875" style="140" customWidth="1"/>
    <col min="7542" max="7542" width="36.5703125" style="140" customWidth="1"/>
    <col min="7543" max="7680" width="36.85546875" style="140"/>
    <col min="7681" max="7681" width="18.5703125" style="140" customWidth="1"/>
    <col min="7682" max="7690" width="31.42578125" style="140" customWidth="1"/>
    <col min="7691" max="7707" width="36.85546875" style="140" customWidth="1"/>
    <col min="7708" max="7708" width="37" style="140" customWidth="1"/>
    <col min="7709" max="7724" width="36.85546875" style="140" customWidth="1"/>
    <col min="7725" max="7725" width="37.140625" style="140" customWidth="1"/>
    <col min="7726" max="7727" width="36.85546875" style="140" customWidth="1"/>
    <col min="7728" max="7728" width="36.5703125" style="140" customWidth="1"/>
    <col min="7729" max="7730" width="36.85546875" style="140" customWidth="1"/>
    <col min="7731" max="7731" width="36.5703125" style="140" customWidth="1"/>
    <col min="7732" max="7732" width="37" style="140" customWidth="1"/>
    <col min="7733" max="7751" width="36.85546875" style="140" customWidth="1"/>
    <col min="7752" max="7752" width="37" style="140" customWidth="1"/>
    <col min="7753" max="7770" width="36.85546875" style="140" customWidth="1"/>
    <col min="7771" max="7771" width="36.5703125" style="140" customWidth="1"/>
    <col min="7772" max="7784" width="36.85546875" style="140" customWidth="1"/>
    <col min="7785" max="7785" width="36.5703125" style="140" customWidth="1"/>
    <col min="7786" max="7788" width="36.85546875" style="140" customWidth="1"/>
    <col min="7789" max="7789" width="36.5703125" style="140" customWidth="1"/>
    <col min="7790" max="7797" width="36.85546875" style="140" customWidth="1"/>
    <col min="7798" max="7798" width="36.5703125" style="140" customWidth="1"/>
    <col min="7799" max="7936" width="36.85546875" style="140"/>
    <col min="7937" max="7937" width="18.5703125" style="140" customWidth="1"/>
    <col min="7938" max="7946" width="31.42578125" style="140" customWidth="1"/>
    <col min="7947" max="7963" width="36.85546875" style="140" customWidth="1"/>
    <col min="7964" max="7964" width="37" style="140" customWidth="1"/>
    <col min="7965" max="7980" width="36.85546875" style="140" customWidth="1"/>
    <col min="7981" max="7981" width="37.140625" style="140" customWidth="1"/>
    <col min="7982" max="7983" width="36.85546875" style="140" customWidth="1"/>
    <col min="7984" max="7984" width="36.5703125" style="140" customWidth="1"/>
    <col min="7985" max="7986" width="36.85546875" style="140" customWidth="1"/>
    <col min="7987" max="7987" width="36.5703125" style="140" customWidth="1"/>
    <col min="7988" max="7988" width="37" style="140" customWidth="1"/>
    <col min="7989" max="8007" width="36.85546875" style="140" customWidth="1"/>
    <col min="8008" max="8008" width="37" style="140" customWidth="1"/>
    <col min="8009" max="8026" width="36.85546875" style="140" customWidth="1"/>
    <col min="8027" max="8027" width="36.5703125" style="140" customWidth="1"/>
    <col min="8028" max="8040" width="36.85546875" style="140" customWidth="1"/>
    <col min="8041" max="8041" width="36.5703125" style="140" customWidth="1"/>
    <col min="8042" max="8044" width="36.85546875" style="140" customWidth="1"/>
    <col min="8045" max="8045" width="36.5703125" style="140" customWidth="1"/>
    <col min="8046" max="8053" width="36.85546875" style="140" customWidth="1"/>
    <col min="8054" max="8054" width="36.5703125" style="140" customWidth="1"/>
    <col min="8055" max="8192" width="36.85546875" style="140"/>
    <col min="8193" max="8193" width="18.5703125" style="140" customWidth="1"/>
    <col min="8194" max="8202" width="31.42578125" style="140" customWidth="1"/>
    <col min="8203" max="8219" width="36.85546875" style="140" customWidth="1"/>
    <col min="8220" max="8220" width="37" style="140" customWidth="1"/>
    <col min="8221" max="8236" width="36.85546875" style="140" customWidth="1"/>
    <col min="8237" max="8237" width="37.140625" style="140" customWidth="1"/>
    <col min="8238" max="8239" width="36.85546875" style="140" customWidth="1"/>
    <col min="8240" max="8240" width="36.5703125" style="140" customWidth="1"/>
    <col min="8241" max="8242" width="36.85546875" style="140" customWidth="1"/>
    <col min="8243" max="8243" width="36.5703125" style="140" customWidth="1"/>
    <col min="8244" max="8244" width="37" style="140" customWidth="1"/>
    <col min="8245" max="8263" width="36.85546875" style="140" customWidth="1"/>
    <col min="8264" max="8264" width="37" style="140" customWidth="1"/>
    <col min="8265" max="8282" width="36.85546875" style="140" customWidth="1"/>
    <col min="8283" max="8283" width="36.5703125" style="140" customWidth="1"/>
    <col min="8284" max="8296" width="36.85546875" style="140" customWidth="1"/>
    <col min="8297" max="8297" width="36.5703125" style="140" customWidth="1"/>
    <col min="8298" max="8300" width="36.85546875" style="140" customWidth="1"/>
    <col min="8301" max="8301" width="36.5703125" style="140" customWidth="1"/>
    <col min="8302" max="8309" width="36.85546875" style="140" customWidth="1"/>
    <col min="8310" max="8310" width="36.5703125" style="140" customWidth="1"/>
    <col min="8311" max="8448" width="36.85546875" style="140"/>
    <col min="8449" max="8449" width="18.5703125" style="140" customWidth="1"/>
    <col min="8450" max="8458" width="31.42578125" style="140" customWidth="1"/>
    <col min="8459" max="8475" width="36.85546875" style="140" customWidth="1"/>
    <col min="8476" max="8476" width="37" style="140" customWidth="1"/>
    <col min="8477" max="8492" width="36.85546875" style="140" customWidth="1"/>
    <col min="8493" max="8493" width="37.140625" style="140" customWidth="1"/>
    <col min="8494" max="8495" width="36.85546875" style="140" customWidth="1"/>
    <col min="8496" max="8496" width="36.5703125" style="140" customWidth="1"/>
    <col min="8497" max="8498" width="36.85546875" style="140" customWidth="1"/>
    <col min="8499" max="8499" width="36.5703125" style="140" customWidth="1"/>
    <col min="8500" max="8500" width="37" style="140" customWidth="1"/>
    <col min="8501" max="8519" width="36.85546875" style="140" customWidth="1"/>
    <col min="8520" max="8520" width="37" style="140" customWidth="1"/>
    <col min="8521" max="8538" width="36.85546875" style="140" customWidth="1"/>
    <col min="8539" max="8539" width="36.5703125" style="140" customWidth="1"/>
    <col min="8540" max="8552" width="36.85546875" style="140" customWidth="1"/>
    <col min="8553" max="8553" width="36.5703125" style="140" customWidth="1"/>
    <col min="8554" max="8556" width="36.85546875" style="140" customWidth="1"/>
    <col min="8557" max="8557" width="36.5703125" style="140" customWidth="1"/>
    <col min="8558" max="8565" width="36.85546875" style="140" customWidth="1"/>
    <col min="8566" max="8566" width="36.5703125" style="140" customWidth="1"/>
    <col min="8567" max="8704" width="36.85546875" style="140"/>
    <col min="8705" max="8705" width="18.5703125" style="140" customWidth="1"/>
    <col min="8706" max="8714" width="31.42578125" style="140" customWidth="1"/>
    <col min="8715" max="8731" width="36.85546875" style="140" customWidth="1"/>
    <col min="8732" max="8732" width="37" style="140" customWidth="1"/>
    <col min="8733" max="8748" width="36.85546875" style="140" customWidth="1"/>
    <col min="8749" max="8749" width="37.140625" style="140" customWidth="1"/>
    <col min="8750" max="8751" width="36.85546875" style="140" customWidth="1"/>
    <col min="8752" max="8752" width="36.5703125" style="140" customWidth="1"/>
    <col min="8753" max="8754" width="36.85546875" style="140" customWidth="1"/>
    <col min="8755" max="8755" width="36.5703125" style="140" customWidth="1"/>
    <col min="8756" max="8756" width="37" style="140" customWidth="1"/>
    <col min="8757" max="8775" width="36.85546875" style="140" customWidth="1"/>
    <col min="8776" max="8776" width="37" style="140" customWidth="1"/>
    <col min="8777" max="8794" width="36.85546875" style="140" customWidth="1"/>
    <col min="8795" max="8795" width="36.5703125" style="140" customWidth="1"/>
    <col min="8796" max="8808" width="36.85546875" style="140" customWidth="1"/>
    <col min="8809" max="8809" width="36.5703125" style="140" customWidth="1"/>
    <col min="8810" max="8812" width="36.85546875" style="140" customWidth="1"/>
    <col min="8813" max="8813" width="36.5703125" style="140" customWidth="1"/>
    <col min="8814" max="8821" width="36.85546875" style="140" customWidth="1"/>
    <col min="8822" max="8822" width="36.5703125" style="140" customWidth="1"/>
    <col min="8823" max="8960" width="36.85546875" style="140"/>
    <col min="8961" max="8961" width="18.5703125" style="140" customWidth="1"/>
    <col min="8962" max="8970" width="31.42578125" style="140" customWidth="1"/>
    <col min="8971" max="8987" width="36.85546875" style="140" customWidth="1"/>
    <col min="8988" max="8988" width="37" style="140" customWidth="1"/>
    <col min="8989" max="9004" width="36.85546875" style="140" customWidth="1"/>
    <col min="9005" max="9005" width="37.140625" style="140" customWidth="1"/>
    <col min="9006" max="9007" width="36.85546875" style="140" customWidth="1"/>
    <col min="9008" max="9008" width="36.5703125" style="140" customWidth="1"/>
    <col min="9009" max="9010" width="36.85546875" style="140" customWidth="1"/>
    <col min="9011" max="9011" width="36.5703125" style="140" customWidth="1"/>
    <col min="9012" max="9012" width="37" style="140" customWidth="1"/>
    <col min="9013" max="9031" width="36.85546875" style="140" customWidth="1"/>
    <col min="9032" max="9032" width="37" style="140" customWidth="1"/>
    <col min="9033" max="9050" width="36.85546875" style="140" customWidth="1"/>
    <col min="9051" max="9051" width="36.5703125" style="140" customWidth="1"/>
    <col min="9052" max="9064" width="36.85546875" style="140" customWidth="1"/>
    <col min="9065" max="9065" width="36.5703125" style="140" customWidth="1"/>
    <col min="9066" max="9068" width="36.85546875" style="140" customWidth="1"/>
    <col min="9069" max="9069" width="36.5703125" style="140" customWidth="1"/>
    <col min="9070" max="9077" width="36.85546875" style="140" customWidth="1"/>
    <col min="9078" max="9078" width="36.5703125" style="140" customWidth="1"/>
    <col min="9079" max="9216" width="36.85546875" style="140"/>
    <col min="9217" max="9217" width="18.5703125" style="140" customWidth="1"/>
    <col min="9218" max="9226" width="31.42578125" style="140" customWidth="1"/>
    <col min="9227" max="9243" width="36.85546875" style="140" customWidth="1"/>
    <col min="9244" max="9244" width="37" style="140" customWidth="1"/>
    <col min="9245" max="9260" width="36.85546875" style="140" customWidth="1"/>
    <col min="9261" max="9261" width="37.140625" style="140" customWidth="1"/>
    <col min="9262" max="9263" width="36.85546875" style="140" customWidth="1"/>
    <col min="9264" max="9264" width="36.5703125" style="140" customWidth="1"/>
    <col min="9265" max="9266" width="36.85546875" style="140" customWidth="1"/>
    <col min="9267" max="9267" width="36.5703125" style="140" customWidth="1"/>
    <col min="9268" max="9268" width="37" style="140" customWidth="1"/>
    <col min="9269" max="9287" width="36.85546875" style="140" customWidth="1"/>
    <col min="9288" max="9288" width="37" style="140" customWidth="1"/>
    <col min="9289" max="9306" width="36.85546875" style="140" customWidth="1"/>
    <col min="9307" max="9307" width="36.5703125" style="140" customWidth="1"/>
    <col min="9308" max="9320" width="36.85546875" style="140" customWidth="1"/>
    <col min="9321" max="9321" width="36.5703125" style="140" customWidth="1"/>
    <col min="9322" max="9324" width="36.85546875" style="140" customWidth="1"/>
    <col min="9325" max="9325" width="36.5703125" style="140" customWidth="1"/>
    <col min="9326" max="9333" width="36.85546875" style="140" customWidth="1"/>
    <col min="9334" max="9334" width="36.5703125" style="140" customWidth="1"/>
    <col min="9335" max="9472" width="36.85546875" style="140"/>
    <col min="9473" max="9473" width="18.5703125" style="140" customWidth="1"/>
    <col min="9474" max="9482" width="31.42578125" style="140" customWidth="1"/>
    <col min="9483" max="9499" width="36.85546875" style="140" customWidth="1"/>
    <col min="9500" max="9500" width="37" style="140" customWidth="1"/>
    <col min="9501" max="9516" width="36.85546875" style="140" customWidth="1"/>
    <col min="9517" max="9517" width="37.140625" style="140" customWidth="1"/>
    <col min="9518" max="9519" width="36.85546875" style="140" customWidth="1"/>
    <col min="9520" max="9520" width="36.5703125" style="140" customWidth="1"/>
    <col min="9521" max="9522" width="36.85546875" style="140" customWidth="1"/>
    <col min="9523" max="9523" width="36.5703125" style="140" customWidth="1"/>
    <col min="9524" max="9524" width="37" style="140" customWidth="1"/>
    <col min="9525" max="9543" width="36.85546875" style="140" customWidth="1"/>
    <col min="9544" max="9544" width="37" style="140" customWidth="1"/>
    <col min="9545" max="9562" width="36.85546875" style="140" customWidth="1"/>
    <col min="9563" max="9563" width="36.5703125" style="140" customWidth="1"/>
    <col min="9564" max="9576" width="36.85546875" style="140" customWidth="1"/>
    <col min="9577" max="9577" width="36.5703125" style="140" customWidth="1"/>
    <col min="9578" max="9580" width="36.85546875" style="140" customWidth="1"/>
    <col min="9581" max="9581" width="36.5703125" style="140" customWidth="1"/>
    <col min="9582" max="9589" width="36.85546875" style="140" customWidth="1"/>
    <col min="9590" max="9590" width="36.5703125" style="140" customWidth="1"/>
    <col min="9591" max="9728" width="36.85546875" style="140"/>
    <col min="9729" max="9729" width="18.5703125" style="140" customWidth="1"/>
    <col min="9730" max="9738" width="31.42578125" style="140" customWidth="1"/>
    <col min="9739" max="9755" width="36.85546875" style="140" customWidth="1"/>
    <col min="9756" max="9756" width="37" style="140" customWidth="1"/>
    <col min="9757" max="9772" width="36.85546875" style="140" customWidth="1"/>
    <col min="9773" max="9773" width="37.140625" style="140" customWidth="1"/>
    <col min="9774" max="9775" width="36.85546875" style="140" customWidth="1"/>
    <col min="9776" max="9776" width="36.5703125" style="140" customWidth="1"/>
    <col min="9777" max="9778" width="36.85546875" style="140" customWidth="1"/>
    <col min="9779" max="9779" width="36.5703125" style="140" customWidth="1"/>
    <col min="9780" max="9780" width="37" style="140" customWidth="1"/>
    <col min="9781" max="9799" width="36.85546875" style="140" customWidth="1"/>
    <col min="9800" max="9800" width="37" style="140" customWidth="1"/>
    <col min="9801" max="9818" width="36.85546875" style="140" customWidth="1"/>
    <col min="9819" max="9819" width="36.5703125" style="140" customWidth="1"/>
    <col min="9820" max="9832" width="36.85546875" style="140" customWidth="1"/>
    <col min="9833" max="9833" width="36.5703125" style="140" customWidth="1"/>
    <col min="9834" max="9836" width="36.85546875" style="140" customWidth="1"/>
    <col min="9837" max="9837" width="36.5703125" style="140" customWidth="1"/>
    <col min="9838" max="9845" width="36.85546875" style="140" customWidth="1"/>
    <col min="9846" max="9846" width="36.5703125" style="140" customWidth="1"/>
    <col min="9847" max="9984" width="36.85546875" style="140"/>
    <col min="9985" max="9985" width="18.5703125" style="140" customWidth="1"/>
    <col min="9986" max="9994" width="31.42578125" style="140" customWidth="1"/>
    <col min="9995" max="10011" width="36.85546875" style="140" customWidth="1"/>
    <col min="10012" max="10012" width="37" style="140" customWidth="1"/>
    <col min="10013" max="10028" width="36.85546875" style="140" customWidth="1"/>
    <col min="10029" max="10029" width="37.140625" style="140" customWidth="1"/>
    <col min="10030" max="10031" width="36.85546875" style="140" customWidth="1"/>
    <col min="10032" max="10032" width="36.5703125" style="140" customWidth="1"/>
    <col min="10033" max="10034" width="36.85546875" style="140" customWidth="1"/>
    <col min="10035" max="10035" width="36.5703125" style="140" customWidth="1"/>
    <col min="10036" max="10036" width="37" style="140" customWidth="1"/>
    <col min="10037" max="10055" width="36.85546875" style="140" customWidth="1"/>
    <col min="10056" max="10056" width="37" style="140" customWidth="1"/>
    <col min="10057" max="10074" width="36.85546875" style="140" customWidth="1"/>
    <col min="10075" max="10075" width="36.5703125" style="140" customWidth="1"/>
    <col min="10076" max="10088" width="36.85546875" style="140" customWidth="1"/>
    <col min="10089" max="10089" width="36.5703125" style="140" customWidth="1"/>
    <col min="10090" max="10092" width="36.85546875" style="140" customWidth="1"/>
    <col min="10093" max="10093" width="36.5703125" style="140" customWidth="1"/>
    <col min="10094" max="10101" width="36.85546875" style="140" customWidth="1"/>
    <col min="10102" max="10102" width="36.5703125" style="140" customWidth="1"/>
    <col min="10103" max="10240" width="36.85546875" style="140"/>
    <col min="10241" max="10241" width="18.5703125" style="140" customWidth="1"/>
    <col min="10242" max="10250" width="31.42578125" style="140" customWidth="1"/>
    <col min="10251" max="10267" width="36.85546875" style="140" customWidth="1"/>
    <col min="10268" max="10268" width="37" style="140" customWidth="1"/>
    <col min="10269" max="10284" width="36.85546875" style="140" customWidth="1"/>
    <col min="10285" max="10285" width="37.140625" style="140" customWidth="1"/>
    <col min="10286" max="10287" width="36.85546875" style="140" customWidth="1"/>
    <col min="10288" max="10288" width="36.5703125" style="140" customWidth="1"/>
    <col min="10289" max="10290" width="36.85546875" style="140" customWidth="1"/>
    <col min="10291" max="10291" width="36.5703125" style="140" customWidth="1"/>
    <col min="10292" max="10292" width="37" style="140" customWidth="1"/>
    <col min="10293" max="10311" width="36.85546875" style="140" customWidth="1"/>
    <col min="10312" max="10312" width="37" style="140" customWidth="1"/>
    <col min="10313" max="10330" width="36.85546875" style="140" customWidth="1"/>
    <col min="10331" max="10331" width="36.5703125" style="140" customWidth="1"/>
    <col min="10332" max="10344" width="36.85546875" style="140" customWidth="1"/>
    <col min="10345" max="10345" width="36.5703125" style="140" customWidth="1"/>
    <col min="10346" max="10348" width="36.85546875" style="140" customWidth="1"/>
    <col min="10349" max="10349" width="36.5703125" style="140" customWidth="1"/>
    <col min="10350" max="10357" width="36.85546875" style="140" customWidth="1"/>
    <col min="10358" max="10358" width="36.5703125" style="140" customWidth="1"/>
    <col min="10359" max="10496" width="36.85546875" style="140"/>
    <col min="10497" max="10497" width="18.5703125" style="140" customWidth="1"/>
    <col min="10498" max="10506" width="31.42578125" style="140" customWidth="1"/>
    <col min="10507" max="10523" width="36.85546875" style="140" customWidth="1"/>
    <col min="10524" max="10524" width="37" style="140" customWidth="1"/>
    <col min="10525" max="10540" width="36.85546875" style="140" customWidth="1"/>
    <col min="10541" max="10541" width="37.140625" style="140" customWidth="1"/>
    <col min="10542" max="10543" width="36.85546875" style="140" customWidth="1"/>
    <col min="10544" max="10544" width="36.5703125" style="140" customWidth="1"/>
    <col min="10545" max="10546" width="36.85546875" style="140" customWidth="1"/>
    <col min="10547" max="10547" width="36.5703125" style="140" customWidth="1"/>
    <col min="10548" max="10548" width="37" style="140" customWidth="1"/>
    <col min="10549" max="10567" width="36.85546875" style="140" customWidth="1"/>
    <col min="10568" max="10568" width="37" style="140" customWidth="1"/>
    <col min="10569" max="10586" width="36.85546875" style="140" customWidth="1"/>
    <col min="10587" max="10587" width="36.5703125" style="140" customWidth="1"/>
    <col min="10588" max="10600" width="36.85546875" style="140" customWidth="1"/>
    <col min="10601" max="10601" width="36.5703125" style="140" customWidth="1"/>
    <col min="10602" max="10604" width="36.85546875" style="140" customWidth="1"/>
    <col min="10605" max="10605" width="36.5703125" style="140" customWidth="1"/>
    <col min="10606" max="10613" width="36.85546875" style="140" customWidth="1"/>
    <col min="10614" max="10614" width="36.5703125" style="140" customWidth="1"/>
    <col min="10615" max="10752" width="36.85546875" style="140"/>
    <col min="10753" max="10753" width="18.5703125" style="140" customWidth="1"/>
    <col min="10754" max="10762" width="31.42578125" style="140" customWidth="1"/>
    <col min="10763" max="10779" width="36.85546875" style="140" customWidth="1"/>
    <col min="10780" max="10780" width="37" style="140" customWidth="1"/>
    <col min="10781" max="10796" width="36.85546875" style="140" customWidth="1"/>
    <col min="10797" max="10797" width="37.140625" style="140" customWidth="1"/>
    <col min="10798" max="10799" width="36.85546875" style="140" customWidth="1"/>
    <col min="10800" max="10800" width="36.5703125" style="140" customWidth="1"/>
    <col min="10801" max="10802" width="36.85546875" style="140" customWidth="1"/>
    <col min="10803" max="10803" width="36.5703125" style="140" customWidth="1"/>
    <col min="10804" max="10804" width="37" style="140" customWidth="1"/>
    <col min="10805" max="10823" width="36.85546875" style="140" customWidth="1"/>
    <col min="10824" max="10824" width="37" style="140" customWidth="1"/>
    <col min="10825" max="10842" width="36.85546875" style="140" customWidth="1"/>
    <col min="10843" max="10843" width="36.5703125" style="140" customWidth="1"/>
    <col min="10844" max="10856" width="36.85546875" style="140" customWidth="1"/>
    <col min="10857" max="10857" width="36.5703125" style="140" customWidth="1"/>
    <col min="10858" max="10860" width="36.85546875" style="140" customWidth="1"/>
    <col min="10861" max="10861" width="36.5703125" style="140" customWidth="1"/>
    <col min="10862" max="10869" width="36.85546875" style="140" customWidth="1"/>
    <col min="10870" max="10870" width="36.5703125" style="140" customWidth="1"/>
    <col min="10871" max="11008" width="36.85546875" style="140"/>
    <col min="11009" max="11009" width="18.5703125" style="140" customWidth="1"/>
    <col min="11010" max="11018" width="31.42578125" style="140" customWidth="1"/>
    <col min="11019" max="11035" width="36.85546875" style="140" customWidth="1"/>
    <col min="11036" max="11036" width="37" style="140" customWidth="1"/>
    <col min="11037" max="11052" width="36.85546875" style="140" customWidth="1"/>
    <col min="11053" max="11053" width="37.140625" style="140" customWidth="1"/>
    <col min="11054" max="11055" width="36.85546875" style="140" customWidth="1"/>
    <col min="11056" max="11056" width="36.5703125" style="140" customWidth="1"/>
    <col min="11057" max="11058" width="36.85546875" style="140" customWidth="1"/>
    <col min="11059" max="11059" width="36.5703125" style="140" customWidth="1"/>
    <col min="11060" max="11060" width="37" style="140" customWidth="1"/>
    <col min="11061" max="11079" width="36.85546875" style="140" customWidth="1"/>
    <col min="11080" max="11080" width="37" style="140" customWidth="1"/>
    <col min="11081" max="11098" width="36.85546875" style="140" customWidth="1"/>
    <col min="11099" max="11099" width="36.5703125" style="140" customWidth="1"/>
    <col min="11100" max="11112" width="36.85546875" style="140" customWidth="1"/>
    <col min="11113" max="11113" width="36.5703125" style="140" customWidth="1"/>
    <col min="11114" max="11116" width="36.85546875" style="140" customWidth="1"/>
    <col min="11117" max="11117" width="36.5703125" style="140" customWidth="1"/>
    <col min="11118" max="11125" width="36.85546875" style="140" customWidth="1"/>
    <col min="11126" max="11126" width="36.5703125" style="140" customWidth="1"/>
    <col min="11127" max="11264" width="36.85546875" style="140"/>
    <col min="11265" max="11265" width="18.5703125" style="140" customWidth="1"/>
    <col min="11266" max="11274" width="31.42578125" style="140" customWidth="1"/>
    <col min="11275" max="11291" width="36.85546875" style="140" customWidth="1"/>
    <col min="11292" max="11292" width="37" style="140" customWidth="1"/>
    <col min="11293" max="11308" width="36.85546875" style="140" customWidth="1"/>
    <col min="11309" max="11309" width="37.140625" style="140" customWidth="1"/>
    <col min="11310" max="11311" width="36.85546875" style="140" customWidth="1"/>
    <col min="11312" max="11312" width="36.5703125" style="140" customWidth="1"/>
    <col min="11313" max="11314" width="36.85546875" style="140" customWidth="1"/>
    <col min="11315" max="11315" width="36.5703125" style="140" customWidth="1"/>
    <col min="11316" max="11316" width="37" style="140" customWidth="1"/>
    <col min="11317" max="11335" width="36.85546875" style="140" customWidth="1"/>
    <col min="11336" max="11336" width="37" style="140" customWidth="1"/>
    <col min="11337" max="11354" width="36.85546875" style="140" customWidth="1"/>
    <col min="11355" max="11355" width="36.5703125" style="140" customWidth="1"/>
    <col min="11356" max="11368" width="36.85546875" style="140" customWidth="1"/>
    <col min="11369" max="11369" width="36.5703125" style="140" customWidth="1"/>
    <col min="11370" max="11372" width="36.85546875" style="140" customWidth="1"/>
    <col min="11373" max="11373" width="36.5703125" style="140" customWidth="1"/>
    <col min="11374" max="11381" width="36.85546875" style="140" customWidth="1"/>
    <col min="11382" max="11382" width="36.5703125" style="140" customWidth="1"/>
    <col min="11383" max="11520" width="36.85546875" style="140"/>
    <col min="11521" max="11521" width="18.5703125" style="140" customWidth="1"/>
    <col min="11522" max="11530" width="31.42578125" style="140" customWidth="1"/>
    <col min="11531" max="11547" width="36.85546875" style="140" customWidth="1"/>
    <col min="11548" max="11548" width="37" style="140" customWidth="1"/>
    <col min="11549" max="11564" width="36.85546875" style="140" customWidth="1"/>
    <col min="11565" max="11565" width="37.140625" style="140" customWidth="1"/>
    <col min="11566" max="11567" width="36.85546875" style="140" customWidth="1"/>
    <col min="11568" max="11568" width="36.5703125" style="140" customWidth="1"/>
    <col min="11569" max="11570" width="36.85546875" style="140" customWidth="1"/>
    <col min="11571" max="11571" width="36.5703125" style="140" customWidth="1"/>
    <col min="11572" max="11572" width="37" style="140" customWidth="1"/>
    <col min="11573" max="11591" width="36.85546875" style="140" customWidth="1"/>
    <col min="11592" max="11592" width="37" style="140" customWidth="1"/>
    <col min="11593" max="11610" width="36.85546875" style="140" customWidth="1"/>
    <col min="11611" max="11611" width="36.5703125" style="140" customWidth="1"/>
    <col min="11612" max="11624" width="36.85546875" style="140" customWidth="1"/>
    <col min="11625" max="11625" width="36.5703125" style="140" customWidth="1"/>
    <col min="11626" max="11628" width="36.85546875" style="140" customWidth="1"/>
    <col min="11629" max="11629" width="36.5703125" style="140" customWidth="1"/>
    <col min="11630" max="11637" width="36.85546875" style="140" customWidth="1"/>
    <col min="11638" max="11638" width="36.5703125" style="140" customWidth="1"/>
    <col min="11639" max="11776" width="36.85546875" style="140"/>
    <col min="11777" max="11777" width="18.5703125" style="140" customWidth="1"/>
    <col min="11778" max="11786" width="31.42578125" style="140" customWidth="1"/>
    <col min="11787" max="11803" width="36.85546875" style="140" customWidth="1"/>
    <col min="11804" max="11804" width="37" style="140" customWidth="1"/>
    <col min="11805" max="11820" width="36.85546875" style="140" customWidth="1"/>
    <col min="11821" max="11821" width="37.140625" style="140" customWidth="1"/>
    <col min="11822" max="11823" width="36.85546875" style="140" customWidth="1"/>
    <col min="11824" max="11824" width="36.5703125" style="140" customWidth="1"/>
    <col min="11825" max="11826" width="36.85546875" style="140" customWidth="1"/>
    <col min="11827" max="11827" width="36.5703125" style="140" customWidth="1"/>
    <col min="11828" max="11828" width="37" style="140" customWidth="1"/>
    <col min="11829" max="11847" width="36.85546875" style="140" customWidth="1"/>
    <col min="11848" max="11848" width="37" style="140" customWidth="1"/>
    <col min="11849" max="11866" width="36.85546875" style="140" customWidth="1"/>
    <col min="11867" max="11867" width="36.5703125" style="140" customWidth="1"/>
    <col min="11868" max="11880" width="36.85546875" style="140" customWidth="1"/>
    <col min="11881" max="11881" width="36.5703125" style="140" customWidth="1"/>
    <col min="11882" max="11884" width="36.85546875" style="140" customWidth="1"/>
    <col min="11885" max="11885" width="36.5703125" style="140" customWidth="1"/>
    <col min="11886" max="11893" width="36.85546875" style="140" customWidth="1"/>
    <col min="11894" max="11894" width="36.5703125" style="140" customWidth="1"/>
    <col min="11895" max="12032" width="36.85546875" style="140"/>
    <col min="12033" max="12033" width="18.5703125" style="140" customWidth="1"/>
    <col min="12034" max="12042" width="31.42578125" style="140" customWidth="1"/>
    <col min="12043" max="12059" width="36.85546875" style="140" customWidth="1"/>
    <col min="12060" max="12060" width="37" style="140" customWidth="1"/>
    <col min="12061" max="12076" width="36.85546875" style="140" customWidth="1"/>
    <col min="12077" max="12077" width="37.140625" style="140" customWidth="1"/>
    <col min="12078" max="12079" width="36.85546875" style="140" customWidth="1"/>
    <col min="12080" max="12080" width="36.5703125" style="140" customWidth="1"/>
    <col min="12081" max="12082" width="36.85546875" style="140" customWidth="1"/>
    <col min="12083" max="12083" width="36.5703125" style="140" customWidth="1"/>
    <col min="12084" max="12084" width="37" style="140" customWidth="1"/>
    <col min="12085" max="12103" width="36.85546875" style="140" customWidth="1"/>
    <col min="12104" max="12104" width="37" style="140" customWidth="1"/>
    <col min="12105" max="12122" width="36.85546875" style="140" customWidth="1"/>
    <col min="12123" max="12123" width="36.5703125" style="140" customWidth="1"/>
    <col min="12124" max="12136" width="36.85546875" style="140" customWidth="1"/>
    <col min="12137" max="12137" width="36.5703125" style="140" customWidth="1"/>
    <col min="12138" max="12140" width="36.85546875" style="140" customWidth="1"/>
    <col min="12141" max="12141" width="36.5703125" style="140" customWidth="1"/>
    <col min="12142" max="12149" width="36.85546875" style="140" customWidth="1"/>
    <col min="12150" max="12150" width="36.5703125" style="140" customWidth="1"/>
    <col min="12151" max="12288" width="36.85546875" style="140"/>
    <col min="12289" max="12289" width="18.5703125" style="140" customWidth="1"/>
    <col min="12290" max="12298" width="31.42578125" style="140" customWidth="1"/>
    <col min="12299" max="12315" width="36.85546875" style="140" customWidth="1"/>
    <col min="12316" max="12316" width="37" style="140" customWidth="1"/>
    <col min="12317" max="12332" width="36.85546875" style="140" customWidth="1"/>
    <col min="12333" max="12333" width="37.140625" style="140" customWidth="1"/>
    <col min="12334" max="12335" width="36.85546875" style="140" customWidth="1"/>
    <col min="12336" max="12336" width="36.5703125" style="140" customWidth="1"/>
    <col min="12337" max="12338" width="36.85546875" style="140" customWidth="1"/>
    <col min="12339" max="12339" width="36.5703125" style="140" customWidth="1"/>
    <col min="12340" max="12340" width="37" style="140" customWidth="1"/>
    <col min="12341" max="12359" width="36.85546875" style="140" customWidth="1"/>
    <col min="12360" max="12360" width="37" style="140" customWidth="1"/>
    <col min="12361" max="12378" width="36.85546875" style="140" customWidth="1"/>
    <col min="12379" max="12379" width="36.5703125" style="140" customWidth="1"/>
    <col min="12380" max="12392" width="36.85546875" style="140" customWidth="1"/>
    <col min="12393" max="12393" width="36.5703125" style="140" customWidth="1"/>
    <col min="12394" max="12396" width="36.85546875" style="140" customWidth="1"/>
    <col min="12397" max="12397" width="36.5703125" style="140" customWidth="1"/>
    <col min="12398" max="12405" width="36.85546875" style="140" customWidth="1"/>
    <col min="12406" max="12406" width="36.5703125" style="140" customWidth="1"/>
    <col min="12407" max="12544" width="36.85546875" style="140"/>
    <col min="12545" max="12545" width="18.5703125" style="140" customWidth="1"/>
    <col min="12546" max="12554" width="31.42578125" style="140" customWidth="1"/>
    <col min="12555" max="12571" width="36.85546875" style="140" customWidth="1"/>
    <col min="12572" max="12572" width="37" style="140" customWidth="1"/>
    <col min="12573" max="12588" width="36.85546875" style="140" customWidth="1"/>
    <col min="12589" max="12589" width="37.140625" style="140" customWidth="1"/>
    <col min="12590" max="12591" width="36.85546875" style="140" customWidth="1"/>
    <col min="12592" max="12592" width="36.5703125" style="140" customWidth="1"/>
    <col min="12593" max="12594" width="36.85546875" style="140" customWidth="1"/>
    <col min="12595" max="12595" width="36.5703125" style="140" customWidth="1"/>
    <col min="12596" max="12596" width="37" style="140" customWidth="1"/>
    <col min="12597" max="12615" width="36.85546875" style="140" customWidth="1"/>
    <col min="12616" max="12616" width="37" style="140" customWidth="1"/>
    <col min="12617" max="12634" width="36.85546875" style="140" customWidth="1"/>
    <col min="12635" max="12635" width="36.5703125" style="140" customWidth="1"/>
    <col min="12636" max="12648" width="36.85546875" style="140" customWidth="1"/>
    <col min="12649" max="12649" width="36.5703125" style="140" customWidth="1"/>
    <col min="12650" max="12652" width="36.85546875" style="140" customWidth="1"/>
    <col min="12653" max="12653" width="36.5703125" style="140" customWidth="1"/>
    <col min="12654" max="12661" width="36.85546875" style="140" customWidth="1"/>
    <col min="12662" max="12662" width="36.5703125" style="140" customWidth="1"/>
    <col min="12663" max="12800" width="36.85546875" style="140"/>
    <col min="12801" max="12801" width="18.5703125" style="140" customWidth="1"/>
    <col min="12802" max="12810" width="31.42578125" style="140" customWidth="1"/>
    <col min="12811" max="12827" width="36.85546875" style="140" customWidth="1"/>
    <col min="12828" max="12828" width="37" style="140" customWidth="1"/>
    <col min="12829" max="12844" width="36.85546875" style="140" customWidth="1"/>
    <col min="12845" max="12845" width="37.140625" style="140" customWidth="1"/>
    <col min="12846" max="12847" width="36.85546875" style="140" customWidth="1"/>
    <col min="12848" max="12848" width="36.5703125" style="140" customWidth="1"/>
    <col min="12849" max="12850" width="36.85546875" style="140" customWidth="1"/>
    <col min="12851" max="12851" width="36.5703125" style="140" customWidth="1"/>
    <col min="12852" max="12852" width="37" style="140" customWidth="1"/>
    <col min="12853" max="12871" width="36.85546875" style="140" customWidth="1"/>
    <col min="12872" max="12872" width="37" style="140" customWidth="1"/>
    <col min="12873" max="12890" width="36.85546875" style="140" customWidth="1"/>
    <col min="12891" max="12891" width="36.5703125" style="140" customWidth="1"/>
    <col min="12892" max="12904" width="36.85546875" style="140" customWidth="1"/>
    <col min="12905" max="12905" width="36.5703125" style="140" customWidth="1"/>
    <col min="12906" max="12908" width="36.85546875" style="140" customWidth="1"/>
    <col min="12909" max="12909" width="36.5703125" style="140" customWidth="1"/>
    <col min="12910" max="12917" width="36.85546875" style="140" customWidth="1"/>
    <col min="12918" max="12918" width="36.5703125" style="140" customWidth="1"/>
    <col min="12919" max="13056" width="36.85546875" style="140"/>
    <col min="13057" max="13057" width="18.5703125" style="140" customWidth="1"/>
    <col min="13058" max="13066" width="31.42578125" style="140" customWidth="1"/>
    <col min="13067" max="13083" width="36.85546875" style="140" customWidth="1"/>
    <col min="13084" max="13084" width="37" style="140" customWidth="1"/>
    <col min="13085" max="13100" width="36.85546875" style="140" customWidth="1"/>
    <col min="13101" max="13101" width="37.140625" style="140" customWidth="1"/>
    <col min="13102" max="13103" width="36.85546875" style="140" customWidth="1"/>
    <col min="13104" max="13104" width="36.5703125" style="140" customWidth="1"/>
    <col min="13105" max="13106" width="36.85546875" style="140" customWidth="1"/>
    <col min="13107" max="13107" width="36.5703125" style="140" customWidth="1"/>
    <col min="13108" max="13108" width="37" style="140" customWidth="1"/>
    <col min="13109" max="13127" width="36.85546875" style="140" customWidth="1"/>
    <col min="13128" max="13128" width="37" style="140" customWidth="1"/>
    <col min="13129" max="13146" width="36.85546875" style="140" customWidth="1"/>
    <col min="13147" max="13147" width="36.5703125" style="140" customWidth="1"/>
    <col min="13148" max="13160" width="36.85546875" style="140" customWidth="1"/>
    <col min="13161" max="13161" width="36.5703125" style="140" customWidth="1"/>
    <col min="13162" max="13164" width="36.85546875" style="140" customWidth="1"/>
    <col min="13165" max="13165" width="36.5703125" style="140" customWidth="1"/>
    <col min="13166" max="13173" width="36.85546875" style="140" customWidth="1"/>
    <col min="13174" max="13174" width="36.5703125" style="140" customWidth="1"/>
    <col min="13175" max="13312" width="36.85546875" style="140"/>
    <col min="13313" max="13313" width="18.5703125" style="140" customWidth="1"/>
    <col min="13314" max="13322" width="31.42578125" style="140" customWidth="1"/>
    <col min="13323" max="13339" width="36.85546875" style="140" customWidth="1"/>
    <col min="13340" max="13340" width="37" style="140" customWidth="1"/>
    <col min="13341" max="13356" width="36.85546875" style="140" customWidth="1"/>
    <col min="13357" max="13357" width="37.140625" style="140" customWidth="1"/>
    <col min="13358" max="13359" width="36.85546875" style="140" customWidth="1"/>
    <col min="13360" max="13360" width="36.5703125" style="140" customWidth="1"/>
    <col min="13361" max="13362" width="36.85546875" style="140" customWidth="1"/>
    <col min="13363" max="13363" width="36.5703125" style="140" customWidth="1"/>
    <col min="13364" max="13364" width="37" style="140" customWidth="1"/>
    <col min="13365" max="13383" width="36.85546875" style="140" customWidth="1"/>
    <col min="13384" max="13384" width="37" style="140" customWidth="1"/>
    <col min="13385" max="13402" width="36.85546875" style="140" customWidth="1"/>
    <col min="13403" max="13403" width="36.5703125" style="140" customWidth="1"/>
    <col min="13404" max="13416" width="36.85546875" style="140" customWidth="1"/>
    <col min="13417" max="13417" width="36.5703125" style="140" customWidth="1"/>
    <col min="13418" max="13420" width="36.85546875" style="140" customWidth="1"/>
    <col min="13421" max="13421" width="36.5703125" style="140" customWidth="1"/>
    <col min="13422" max="13429" width="36.85546875" style="140" customWidth="1"/>
    <col min="13430" max="13430" width="36.5703125" style="140" customWidth="1"/>
    <col min="13431" max="13568" width="36.85546875" style="140"/>
    <col min="13569" max="13569" width="18.5703125" style="140" customWidth="1"/>
    <col min="13570" max="13578" width="31.42578125" style="140" customWidth="1"/>
    <col min="13579" max="13595" width="36.85546875" style="140" customWidth="1"/>
    <col min="13596" max="13596" width="37" style="140" customWidth="1"/>
    <col min="13597" max="13612" width="36.85546875" style="140" customWidth="1"/>
    <col min="13613" max="13613" width="37.140625" style="140" customWidth="1"/>
    <col min="13614" max="13615" width="36.85546875" style="140" customWidth="1"/>
    <col min="13616" max="13616" width="36.5703125" style="140" customWidth="1"/>
    <col min="13617" max="13618" width="36.85546875" style="140" customWidth="1"/>
    <col min="13619" max="13619" width="36.5703125" style="140" customWidth="1"/>
    <col min="13620" max="13620" width="37" style="140" customWidth="1"/>
    <col min="13621" max="13639" width="36.85546875" style="140" customWidth="1"/>
    <col min="13640" max="13640" width="37" style="140" customWidth="1"/>
    <col min="13641" max="13658" width="36.85546875" style="140" customWidth="1"/>
    <col min="13659" max="13659" width="36.5703125" style="140" customWidth="1"/>
    <col min="13660" max="13672" width="36.85546875" style="140" customWidth="1"/>
    <col min="13673" max="13673" width="36.5703125" style="140" customWidth="1"/>
    <col min="13674" max="13676" width="36.85546875" style="140" customWidth="1"/>
    <col min="13677" max="13677" width="36.5703125" style="140" customWidth="1"/>
    <col min="13678" max="13685" width="36.85546875" style="140" customWidth="1"/>
    <col min="13686" max="13686" width="36.5703125" style="140" customWidth="1"/>
    <col min="13687" max="13824" width="36.85546875" style="140"/>
    <col min="13825" max="13825" width="18.5703125" style="140" customWidth="1"/>
    <col min="13826" max="13834" width="31.42578125" style="140" customWidth="1"/>
    <col min="13835" max="13851" width="36.85546875" style="140" customWidth="1"/>
    <col min="13852" max="13852" width="37" style="140" customWidth="1"/>
    <col min="13853" max="13868" width="36.85546875" style="140" customWidth="1"/>
    <col min="13869" max="13869" width="37.140625" style="140" customWidth="1"/>
    <col min="13870" max="13871" width="36.85546875" style="140" customWidth="1"/>
    <col min="13872" max="13872" width="36.5703125" style="140" customWidth="1"/>
    <col min="13873" max="13874" width="36.85546875" style="140" customWidth="1"/>
    <col min="13875" max="13875" width="36.5703125" style="140" customWidth="1"/>
    <col min="13876" max="13876" width="37" style="140" customWidth="1"/>
    <col min="13877" max="13895" width="36.85546875" style="140" customWidth="1"/>
    <col min="13896" max="13896" width="37" style="140" customWidth="1"/>
    <col min="13897" max="13914" width="36.85546875" style="140" customWidth="1"/>
    <col min="13915" max="13915" width="36.5703125" style="140" customWidth="1"/>
    <col min="13916" max="13928" width="36.85546875" style="140" customWidth="1"/>
    <col min="13929" max="13929" width="36.5703125" style="140" customWidth="1"/>
    <col min="13930" max="13932" width="36.85546875" style="140" customWidth="1"/>
    <col min="13933" max="13933" width="36.5703125" style="140" customWidth="1"/>
    <col min="13934" max="13941" width="36.85546875" style="140" customWidth="1"/>
    <col min="13942" max="13942" width="36.5703125" style="140" customWidth="1"/>
    <col min="13943" max="14080" width="36.85546875" style="140"/>
    <col min="14081" max="14081" width="18.5703125" style="140" customWidth="1"/>
    <col min="14082" max="14090" width="31.42578125" style="140" customWidth="1"/>
    <col min="14091" max="14107" width="36.85546875" style="140" customWidth="1"/>
    <col min="14108" max="14108" width="37" style="140" customWidth="1"/>
    <col min="14109" max="14124" width="36.85546875" style="140" customWidth="1"/>
    <col min="14125" max="14125" width="37.140625" style="140" customWidth="1"/>
    <col min="14126" max="14127" width="36.85546875" style="140" customWidth="1"/>
    <col min="14128" max="14128" width="36.5703125" style="140" customWidth="1"/>
    <col min="14129" max="14130" width="36.85546875" style="140" customWidth="1"/>
    <col min="14131" max="14131" width="36.5703125" style="140" customWidth="1"/>
    <col min="14132" max="14132" width="37" style="140" customWidth="1"/>
    <col min="14133" max="14151" width="36.85546875" style="140" customWidth="1"/>
    <col min="14152" max="14152" width="37" style="140" customWidth="1"/>
    <col min="14153" max="14170" width="36.85546875" style="140" customWidth="1"/>
    <col min="14171" max="14171" width="36.5703125" style="140" customWidth="1"/>
    <col min="14172" max="14184" width="36.85546875" style="140" customWidth="1"/>
    <col min="14185" max="14185" width="36.5703125" style="140" customWidth="1"/>
    <col min="14186" max="14188" width="36.85546875" style="140" customWidth="1"/>
    <col min="14189" max="14189" width="36.5703125" style="140" customWidth="1"/>
    <col min="14190" max="14197" width="36.85546875" style="140" customWidth="1"/>
    <col min="14198" max="14198" width="36.5703125" style="140" customWidth="1"/>
    <col min="14199" max="14336" width="36.85546875" style="140"/>
    <col min="14337" max="14337" width="18.5703125" style="140" customWidth="1"/>
    <col min="14338" max="14346" width="31.42578125" style="140" customWidth="1"/>
    <col min="14347" max="14363" width="36.85546875" style="140" customWidth="1"/>
    <col min="14364" max="14364" width="37" style="140" customWidth="1"/>
    <col min="14365" max="14380" width="36.85546875" style="140" customWidth="1"/>
    <col min="14381" max="14381" width="37.140625" style="140" customWidth="1"/>
    <col min="14382" max="14383" width="36.85546875" style="140" customWidth="1"/>
    <col min="14384" max="14384" width="36.5703125" style="140" customWidth="1"/>
    <col min="14385" max="14386" width="36.85546875" style="140" customWidth="1"/>
    <col min="14387" max="14387" width="36.5703125" style="140" customWidth="1"/>
    <col min="14388" max="14388" width="37" style="140" customWidth="1"/>
    <col min="14389" max="14407" width="36.85546875" style="140" customWidth="1"/>
    <col min="14408" max="14408" width="37" style="140" customWidth="1"/>
    <col min="14409" max="14426" width="36.85546875" style="140" customWidth="1"/>
    <col min="14427" max="14427" width="36.5703125" style="140" customWidth="1"/>
    <col min="14428" max="14440" width="36.85546875" style="140" customWidth="1"/>
    <col min="14441" max="14441" width="36.5703125" style="140" customWidth="1"/>
    <col min="14442" max="14444" width="36.85546875" style="140" customWidth="1"/>
    <col min="14445" max="14445" width="36.5703125" style="140" customWidth="1"/>
    <col min="14446" max="14453" width="36.85546875" style="140" customWidth="1"/>
    <col min="14454" max="14454" width="36.5703125" style="140" customWidth="1"/>
    <col min="14455" max="14592" width="36.85546875" style="140"/>
    <col min="14593" max="14593" width="18.5703125" style="140" customWidth="1"/>
    <col min="14594" max="14602" width="31.42578125" style="140" customWidth="1"/>
    <col min="14603" max="14619" width="36.85546875" style="140" customWidth="1"/>
    <col min="14620" max="14620" width="37" style="140" customWidth="1"/>
    <col min="14621" max="14636" width="36.85546875" style="140" customWidth="1"/>
    <col min="14637" max="14637" width="37.140625" style="140" customWidth="1"/>
    <col min="14638" max="14639" width="36.85546875" style="140" customWidth="1"/>
    <col min="14640" max="14640" width="36.5703125" style="140" customWidth="1"/>
    <col min="14641" max="14642" width="36.85546875" style="140" customWidth="1"/>
    <col min="14643" max="14643" width="36.5703125" style="140" customWidth="1"/>
    <col min="14644" max="14644" width="37" style="140" customWidth="1"/>
    <col min="14645" max="14663" width="36.85546875" style="140" customWidth="1"/>
    <col min="14664" max="14664" width="37" style="140" customWidth="1"/>
    <col min="14665" max="14682" width="36.85546875" style="140" customWidth="1"/>
    <col min="14683" max="14683" width="36.5703125" style="140" customWidth="1"/>
    <col min="14684" max="14696" width="36.85546875" style="140" customWidth="1"/>
    <col min="14697" max="14697" width="36.5703125" style="140" customWidth="1"/>
    <col min="14698" max="14700" width="36.85546875" style="140" customWidth="1"/>
    <col min="14701" max="14701" width="36.5703125" style="140" customWidth="1"/>
    <col min="14702" max="14709" width="36.85546875" style="140" customWidth="1"/>
    <col min="14710" max="14710" width="36.5703125" style="140" customWidth="1"/>
    <col min="14711" max="14848" width="36.85546875" style="140"/>
    <col min="14849" max="14849" width="18.5703125" style="140" customWidth="1"/>
    <col min="14850" max="14858" width="31.42578125" style="140" customWidth="1"/>
    <col min="14859" max="14875" width="36.85546875" style="140" customWidth="1"/>
    <col min="14876" max="14876" width="37" style="140" customWidth="1"/>
    <col min="14877" max="14892" width="36.85546875" style="140" customWidth="1"/>
    <col min="14893" max="14893" width="37.140625" style="140" customWidth="1"/>
    <col min="14894" max="14895" width="36.85546875" style="140" customWidth="1"/>
    <col min="14896" max="14896" width="36.5703125" style="140" customWidth="1"/>
    <col min="14897" max="14898" width="36.85546875" style="140" customWidth="1"/>
    <col min="14899" max="14899" width="36.5703125" style="140" customWidth="1"/>
    <col min="14900" max="14900" width="37" style="140" customWidth="1"/>
    <col min="14901" max="14919" width="36.85546875" style="140" customWidth="1"/>
    <col min="14920" max="14920" width="37" style="140" customWidth="1"/>
    <col min="14921" max="14938" width="36.85546875" style="140" customWidth="1"/>
    <col min="14939" max="14939" width="36.5703125" style="140" customWidth="1"/>
    <col min="14940" max="14952" width="36.85546875" style="140" customWidth="1"/>
    <col min="14953" max="14953" width="36.5703125" style="140" customWidth="1"/>
    <col min="14954" max="14956" width="36.85546875" style="140" customWidth="1"/>
    <col min="14957" max="14957" width="36.5703125" style="140" customWidth="1"/>
    <col min="14958" max="14965" width="36.85546875" style="140" customWidth="1"/>
    <col min="14966" max="14966" width="36.5703125" style="140" customWidth="1"/>
    <col min="14967" max="15104" width="36.85546875" style="140"/>
    <col min="15105" max="15105" width="18.5703125" style="140" customWidth="1"/>
    <col min="15106" max="15114" width="31.42578125" style="140" customWidth="1"/>
    <col min="15115" max="15131" width="36.85546875" style="140" customWidth="1"/>
    <col min="15132" max="15132" width="37" style="140" customWidth="1"/>
    <col min="15133" max="15148" width="36.85546875" style="140" customWidth="1"/>
    <col min="15149" max="15149" width="37.140625" style="140" customWidth="1"/>
    <col min="15150" max="15151" width="36.85546875" style="140" customWidth="1"/>
    <col min="15152" max="15152" width="36.5703125" style="140" customWidth="1"/>
    <col min="15153" max="15154" width="36.85546875" style="140" customWidth="1"/>
    <col min="15155" max="15155" width="36.5703125" style="140" customWidth="1"/>
    <col min="15156" max="15156" width="37" style="140" customWidth="1"/>
    <col min="15157" max="15175" width="36.85546875" style="140" customWidth="1"/>
    <col min="15176" max="15176" width="37" style="140" customWidth="1"/>
    <col min="15177" max="15194" width="36.85546875" style="140" customWidth="1"/>
    <col min="15195" max="15195" width="36.5703125" style="140" customWidth="1"/>
    <col min="15196" max="15208" width="36.85546875" style="140" customWidth="1"/>
    <col min="15209" max="15209" width="36.5703125" style="140" customWidth="1"/>
    <col min="15210" max="15212" width="36.85546875" style="140" customWidth="1"/>
    <col min="15213" max="15213" width="36.5703125" style="140" customWidth="1"/>
    <col min="15214" max="15221" width="36.85546875" style="140" customWidth="1"/>
    <col min="15222" max="15222" width="36.5703125" style="140" customWidth="1"/>
    <col min="15223" max="15360" width="36.85546875" style="140"/>
    <col min="15361" max="15361" width="18.5703125" style="140" customWidth="1"/>
    <col min="15362" max="15370" width="31.42578125" style="140" customWidth="1"/>
    <col min="15371" max="15387" width="36.85546875" style="140" customWidth="1"/>
    <col min="15388" max="15388" width="37" style="140" customWidth="1"/>
    <col min="15389" max="15404" width="36.85546875" style="140" customWidth="1"/>
    <col min="15405" max="15405" width="37.140625" style="140" customWidth="1"/>
    <col min="15406" max="15407" width="36.85546875" style="140" customWidth="1"/>
    <col min="15408" max="15408" width="36.5703125" style="140" customWidth="1"/>
    <col min="15409" max="15410" width="36.85546875" style="140" customWidth="1"/>
    <col min="15411" max="15411" width="36.5703125" style="140" customWidth="1"/>
    <col min="15412" max="15412" width="37" style="140" customWidth="1"/>
    <col min="15413" max="15431" width="36.85546875" style="140" customWidth="1"/>
    <col min="15432" max="15432" width="37" style="140" customWidth="1"/>
    <col min="15433" max="15450" width="36.85546875" style="140" customWidth="1"/>
    <col min="15451" max="15451" width="36.5703125" style="140" customWidth="1"/>
    <col min="15452" max="15464" width="36.85546875" style="140" customWidth="1"/>
    <col min="15465" max="15465" width="36.5703125" style="140" customWidth="1"/>
    <col min="15466" max="15468" width="36.85546875" style="140" customWidth="1"/>
    <col min="15469" max="15469" width="36.5703125" style="140" customWidth="1"/>
    <col min="15470" max="15477" width="36.85546875" style="140" customWidth="1"/>
    <col min="15478" max="15478" width="36.5703125" style="140" customWidth="1"/>
    <col min="15479" max="15616" width="36.85546875" style="140"/>
    <col min="15617" max="15617" width="18.5703125" style="140" customWidth="1"/>
    <col min="15618" max="15626" width="31.42578125" style="140" customWidth="1"/>
    <col min="15627" max="15643" width="36.85546875" style="140" customWidth="1"/>
    <col min="15644" max="15644" width="37" style="140" customWidth="1"/>
    <col min="15645" max="15660" width="36.85546875" style="140" customWidth="1"/>
    <col min="15661" max="15661" width="37.140625" style="140" customWidth="1"/>
    <col min="15662" max="15663" width="36.85546875" style="140" customWidth="1"/>
    <col min="15664" max="15664" width="36.5703125" style="140" customWidth="1"/>
    <col min="15665" max="15666" width="36.85546875" style="140" customWidth="1"/>
    <col min="15667" max="15667" width="36.5703125" style="140" customWidth="1"/>
    <col min="15668" max="15668" width="37" style="140" customWidth="1"/>
    <col min="15669" max="15687" width="36.85546875" style="140" customWidth="1"/>
    <col min="15688" max="15688" width="37" style="140" customWidth="1"/>
    <col min="15689" max="15706" width="36.85546875" style="140" customWidth="1"/>
    <col min="15707" max="15707" width="36.5703125" style="140" customWidth="1"/>
    <col min="15708" max="15720" width="36.85546875" style="140" customWidth="1"/>
    <col min="15721" max="15721" width="36.5703125" style="140" customWidth="1"/>
    <col min="15722" max="15724" width="36.85546875" style="140" customWidth="1"/>
    <col min="15725" max="15725" width="36.5703125" style="140" customWidth="1"/>
    <col min="15726" max="15733" width="36.85546875" style="140" customWidth="1"/>
    <col min="15734" max="15734" width="36.5703125" style="140" customWidth="1"/>
    <col min="15735" max="15872" width="36.85546875" style="140"/>
    <col min="15873" max="15873" width="18.5703125" style="140" customWidth="1"/>
    <col min="15874" max="15882" width="31.42578125" style="140" customWidth="1"/>
    <col min="15883" max="15899" width="36.85546875" style="140" customWidth="1"/>
    <col min="15900" max="15900" width="37" style="140" customWidth="1"/>
    <col min="15901" max="15916" width="36.85546875" style="140" customWidth="1"/>
    <col min="15917" max="15917" width="37.140625" style="140" customWidth="1"/>
    <col min="15918" max="15919" width="36.85546875" style="140" customWidth="1"/>
    <col min="15920" max="15920" width="36.5703125" style="140" customWidth="1"/>
    <col min="15921" max="15922" width="36.85546875" style="140" customWidth="1"/>
    <col min="15923" max="15923" width="36.5703125" style="140" customWidth="1"/>
    <col min="15924" max="15924" width="37" style="140" customWidth="1"/>
    <col min="15925" max="15943" width="36.85546875" style="140" customWidth="1"/>
    <col min="15944" max="15944" width="37" style="140" customWidth="1"/>
    <col min="15945" max="15962" width="36.85546875" style="140" customWidth="1"/>
    <col min="15963" max="15963" width="36.5703125" style="140" customWidth="1"/>
    <col min="15964" max="15976" width="36.85546875" style="140" customWidth="1"/>
    <col min="15977" max="15977" width="36.5703125" style="140" customWidth="1"/>
    <col min="15978" max="15980" width="36.85546875" style="140" customWidth="1"/>
    <col min="15981" max="15981" width="36.5703125" style="140" customWidth="1"/>
    <col min="15982" max="15989" width="36.85546875" style="140" customWidth="1"/>
    <col min="15990" max="15990" width="36.5703125" style="140" customWidth="1"/>
    <col min="15991" max="16128" width="36.85546875" style="140"/>
    <col min="16129" max="16129" width="18.5703125" style="140" customWidth="1"/>
    <col min="16130" max="16138" width="31.42578125" style="140" customWidth="1"/>
    <col min="16139" max="16155" width="36.85546875" style="140" customWidth="1"/>
    <col min="16156" max="16156" width="37" style="140" customWidth="1"/>
    <col min="16157" max="16172" width="36.85546875" style="140" customWidth="1"/>
    <col min="16173" max="16173" width="37.140625" style="140" customWidth="1"/>
    <col min="16174" max="16175" width="36.85546875" style="140" customWidth="1"/>
    <col min="16176" max="16176" width="36.5703125" style="140" customWidth="1"/>
    <col min="16177" max="16178" width="36.85546875" style="140" customWidth="1"/>
    <col min="16179" max="16179" width="36.5703125" style="140" customWidth="1"/>
    <col min="16180" max="16180" width="37" style="140" customWidth="1"/>
    <col min="16181" max="16199" width="36.85546875" style="140" customWidth="1"/>
    <col min="16200" max="16200" width="37" style="140" customWidth="1"/>
    <col min="16201" max="16218" width="36.85546875" style="140" customWidth="1"/>
    <col min="16219" max="16219" width="36.5703125" style="140" customWidth="1"/>
    <col min="16220" max="16232" width="36.85546875" style="140" customWidth="1"/>
    <col min="16233" max="16233" width="36.5703125" style="140" customWidth="1"/>
    <col min="16234" max="16236" width="36.85546875" style="140" customWidth="1"/>
    <col min="16237" max="16237" width="36.5703125" style="140" customWidth="1"/>
    <col min="16238" max="16245" width="36.85546875" style="140" customWidth="1"/>
    <col min="16246" max="16246" width="36.5703125" style="140" customWidth="1"/>
    <col min="16247" max="16384" width="36.85546875" style="140"/>
  </cols>
  <sheetData>
    <row r="1" spans="1:245" s="85" customFormat="1" ht="12.75" customHeight="1" x14ac:dyDescent="0.25">
      <c r="A1" s="81" t="s">
        <v>122</v>
      </c>
      <c r="B1" s="82"/>
      <c r="C1" s="83"/>
      <c r="D1" s="83"/>
      <c r="E1" s="83"/>
      <c r="F1" s="83"/>
      <c r="G1" s="83"/>
      <c r="H1" s="83"/>
      <c r="I1" s="83"/>
      <c r="J1" s="83"/>
      <c r="K1" s="84"/>
      <c r="L1" s="84"/>
      <c r="M1" s="84"/>
      <c r="N1" s="84"/>
      <c r="O1" s="84"/>
      <c r="P1" s="84"/>
      <c r="Q1" s="84"/>
      <c r="R1" s="84"/>
      <c r="S1" s="84"/>
      <c r="T1" s="84"/>
      <c r="U1" s="84"/>
      <c r="V1" s="84"/>
      <c r="W1" s="84"/>
      <c r="X1" s="84"/>
      <c r="Y1" s="84"/>
      <c r="Z1" s="84"/>
      <c r="AA1" s="84"/>
      <c r="AB1" s="84"/>
      <c r="AC1" s="84"/>
      <c r="AD1" s="84"/>
      <c r="AE1" s="84"/>
      <c r="AF1" s="84"/>
      <c r="AG1" s="84"/>
      <c r="AH1" s="84"/>
      <c r="AI1" s="84"/>
    </row>
    <row r="2" spans="1:245" s="89" customFormat="1" ht="12.75" customHeight="1" x14ac:dyDescent="0.25">
      <c r="A2" s="86" t="s">
        <v>123</v>
      </c>
      <c r="B2" s="87">
        <v>1</v>
      </c>
      <c r="C2" s="87">
        <v>2</v>
      </c>
      <c r="D2" s="87">
        <v>3</v>
      </c>
      <c r="E2" s="87">
        <v>4</v>
      </c>
      <c r="F2" s="87">
        <v>5</v>
      </c>
      <c r="G2" s="87">
        <v>6</v>
      </c>
      <c r="H2" s="87">
        <v>7</v>
      </c>
      <c r="I2" s="87">
        <v>8</v>
      </c>
      <c r="J2" s="87">
        <v>9</v>
      </c>
      <c r="K2" s="87"/>
      <c r="L2" s="87"/>
      <c r="M2" s="87"/>
      <c r="N2" s="87"/>
      <c r="O2" s="87"/>
      <c r="P2" s="87"/>
      <c r="Q2" s="87"/>
      <c r="R2" s="87"/>
      <c r="S2" s="87"/>
      <c r="T2" s="87"/>
      <c r="U2" s="87"/>
      <c r="V2" s="87"/>
      <c r="W2" s="87"/>
      <c r="X2" s="87"/>
      <c r="Y2" s="87"/>
      <c r="Z2" s="87"/>
      <c r="AA2" s="87"/>
      <c r="AB2" s="87"/>
      <c r="AC2" s="87"/>
      <c r="AD2" s="87"/>
      <c r="AE2" s="87"/>
      <c r="AF2" s="87"/>
      <c r="AG2" s="87"/>
      <c r="AH2" s="87"/>
      <c r="AI2" s="87"/>
      <c r="AJ2" s="88"/>
      <c r="AK2" s="88" t="str">
        <f t="shared" ref="AK2:CV2" si="0">IF(AK3="","",AJ2+1)</f>
        <v/>
      </c>
      <c r="AL2" s="88" t="str">
        <f t="shared" si="0"/>
        <v/>
      </c>
      <c r="AM2" s="88" t="str">
        <f t="shared" si="0"/>
        <v/>
      </c>
      <c r="AN2" s="88" t="str">
        <f t="shared" si="0"/>
        <v/>
      </c>
      <c r="AO2" s="88" t="str">
        <f t="shared" si="0"/>
        <v/>
      </c>
      <c r="AP2" s="88" t="str">
        <f t="shared" si="0"/>
        <v/>
      </c>
      <c r="AQ2" s="88" t="str">
        <f t="shared" si="0"/>
        <v/>
      </c>
      <c r="AR2" s="88" t="str">
        <f t="shared" si="0"/>
        <v/>
      </c>
      <c r="AS2" s="88" t="str">
        <f t="shared" si="0"/>
        <v/>
      </c>
      <c r="AT2" s="88" t="str">
        <f t="shared" si="0"/>
        <v/>
      </c>
      <c r="AU2" s="88" t="str">
        <f t="shared" si="0"/>
        <v/>
      </c>
      <c r="AV2" s="88" t="str">
        <f t="shared" si="0"/>
        <v/>
      </c>
      <c r="AW2" s="88" t="str">
        <f t="shared" si="0"/>
        <v/>
      </c>
      <c r="AX2" s="88" t="str">
        <f t="shared" si="0"/>
        <v/>
      </c>
      <c r="AY2" s="88" t="str">
        <f t="shared" si="0"/>
        <v/>
      </c>
      <c r="AZ2" s="88" t="str">
        <f t="shared" si="0"/>
        <v/>
      </c>
      <c r="BA2" s="88" t="str">
        <f t="shared" si="0"/>
        <v/>
      </c>
      <c r="BB2" s="88" t="str">
        <f t="shared" si="0"/>
        <v/>
      </c>
      <c r="BC2" s="88" t="str">
        <f t="shared" si="0"/>
        <v/>
      </c>
      <c r="BD2" s="88" t="str">
        <f t="shared" si="0"/>
        <v/>
      </c>
      <c r="BE2" s="88" t="str">
        <f t="shared" si="0"/>
        <v/>
      </c>
      <c r="BF2" s="88" t="str">
        <f t="shared" si="0"/>
        <v/>
      </c>
      <c r="BG2" s="88" t="str">
        <f t="shared" si="0"/>
        <v/>
      </c>
      <c r="BH2" s="88" t="str">
        <f t="shared" si="0"/>
        <v/>
      </c>
      <c r="BI2" s="88" t="str">
        <f t="shared" si="0"/>
        <v/>
      </c>
      <c r="BJ2" s="88" t="str">
        <f t="shared" si="0"/>
        <v/>
      </c>
      <c r="BK2" s="88" t="str">
        <f t="shared" si="0"/>
        <v/>
      </c>
      <c r="BL2" s="88" t="str">
        <f t="shared" si="0"/>
        <v/>
      </c>
      <c r="BM2" s="88" t="str">
        <f t="shared" si="0"/>
        <v/>
      </c>
      <c r="BN2" s="88" t="str">
        <f t="shared" si="0"/>
        <v/>
      </c>
      <c r="BO2" s="88" t="str">
        <f t="shared" si="0"/>
        <v/>
      </c>
      <c r="BP2" s="88" t="str">
        <f t="shared" si="0"/>
        <v/>
      </c>
      <c r="BQ2" s="88" t="str">
        <f t="shared" si="0"/>
        <v/>
      </c>
      <c r="BR2" s="88" t="str">
        <f t="shared" si="0"/>
        <v/>
      </c>
      <c r="BS2" s="88" t="str">
        <f t="shared" si="0"/>
        <v/>
      </c>
      <c r="BT2" s="88" t="str">
        <f t="shared" si="0"/>
        <v/>
      </c>
      <c r="BU2" s="88" t="str">
        <f t="shared" si="0"/>
        <v/>
      </c>
      <c r="BV2" s="88" t="str">
        <f t="shared" si="0"/>
        <v/>
      </c>
      <c r="BW2" s="88" t="str">
        <f t="shared" si="0"/>
        <v/>
      </c>
      <c r="BX2" s="88" t="str">
        <f t="shared" si="0"/>
        <v/>
      </c>
      <c r="BY2" s="88" t="str">
        <f t="shared" si="0"/>
        <v/>
      </c>
      <c r="BZ2" s="88" t="str">
        <f t="shared" si="0"/>
        <v/>
      </c>
      <c r="CA2" s="88" t="str">
        <f t="shared" si="0"/>
        <v/>
      </c>
      <c r="CB2" s="88" t="str">
        <f t="shared" si="0"/>
        <v/>
      </c>
      <c r="CC2" s="88" t="str">
        <f t="shared" si="0"/>
        <v/>
      </c>
      <c r="CD2" s="88" t="str">
        <f t="shared" si="0"/>
        <v/>
      </c>
      <c r="CE2" s="88" t="str">
        <f t="shared" si="0"/>
        <v/>
      </c>
      <c r="CF2" s="88" t="str">
        <f t="shared" si="0"/>
        <v/>
      </c>
      <c r="CG2" s="88" t="str">
        <f t="shared" si="0"/>
        <v/>
      </c>
      <c r="CH2" s="88" t="str">
        <f t="shared" si="0"/>
        <v/>
      </c>
      <c r="CI2" s="88" t="str">
        <f t="shared" si="0"/>
        <v/>
      </c>
      <c r="CJ2" s="88" t="str">
        <f t="shared" si="0"/>
        <v/>
      </c>
      <c r="CK2" s="88" t="str">
        <f t="shared" si="0"/>
        <v/>
      </c>
      <c r="CL2" s="88" t="str">
        <f t="shared" si="0"/>
        <v/>
      </c>
      <c r="CM2" s="88" t="str">
        <f t="shared" si="0"/>
        <v/>
      </c>
      <c r="CN2" s="88" t="str">
        <f t="shared" si="0"/>
        <v/>
      </c>
      <c r="CO2" s="88" t="str">
        <f t="shared" si="0"/>
        <v/>
      </c>
      <c r="CP2" s="88" t="str">
        <f t="shared" si="0"/>
        <v/>
      </c>
      <c r="CQ2" s="88" t="str">
        <f t="shared" si="0"/>
        <v/>
      </c>
      <c r="CR2" s="88" t="str">
        <f t="shared" si="0"/>
        <v/>
      </c>
      <c r="CS2" s="88" t="str">
        <f t="shared" si="0"/>
        <v/>
      </c>
      <c r="CT2" s="88" t="str">
        <f t="shared" si="0"/>
        <v/>
      </c>
      <c r="CU2" s="88" t="str">
        <f t="shared" si="0"/>
        <v/>
      </c>
      <c r="CV2" s="88" t="str">
        <f t="shared" si="0"/>
        <v/>
      </c>
      <c r="CW2" s="88" t="str">
        <f t="shared" ref="CW2:FH2" si="1">IF(CW3="","",CV2+1)</f>
        <v/>
      </c>
      <c r="CX2" s="88" t="str">
        <f t="shared" si="1"/>
        <v/>
      </c>
      <c r="CY2" s="88" t="str">
        <f t="shared" si="1"/>
        <v/>
      </c>
      <c r="CZ2" s="88" t="str">
        <f t="shared" si="1"/>
        <v/>
      </c>
      <c r="DA2" s="88" t="str">
        <f t="shared" si="1"/>
        <v/>
      </c>
      <c r="DB2" s="88" t="str">
        <f t="shared" si="1"/>
        <v/>
      </c>
      <c r="DC2" s="88" t="str">
        <f t="shared" si="1"/>
        <v/>
      </c>
      <c r="DD2" s="88" t="str">
        <f t="shared" si="1"/>
        <v/>
      </c>
      <c r="DE2" s="88" t="str">
        <f t="shared" si="1"/>
        <v/>
      </c>
      <c r="DF2" s="88" t="str">
        <f t="shared" si="1"/>
        <v/>
      </c>
      <c r="DG2" s="88" t="str">
        <f t="shared" si="1"/>
        <v/>
      </c>
      <c r="DH2" s="88" t="str">
        <f t="shared" si="1"/>
        <v/>
      </c>
      <c r="DI2" s="88" t="str">
        <f t="shared" si="1"/>
        <v/>
      </c>
      <c r="DJ2" s="88" t="str">
        <f t="shared" si="1"/>
        <v/>
      </c>
      <c r="DK2" s="88" t="str">
        <f t="shared" si="1"/>
        <v/>
      </c>
      <c r="DL2" s="88" t="str">
        <f t="shared" si="1"/>
        <v/>
      </c>
      <c r="DM2" s="88" t="str">
        <f t="shared" si="1"/>
        <v/>
      </c>
      <c r="DN2" s="88" t="str">
        <f t="shared" si="1"/>
        <v/>
      </c>
      <c r="DO2" s="88" t="str">
        <f t="shared" si="1"/>
        <v/>
      </c>
      <c r="DP2" s="88" t="str">
        <f t="shared" si="1"/>
        <v/>
      </c>
      <c r="DQ2" s="88" t="str">
        <f t="shared" si="1"/>
        <v/>
      </c>
      <c r="DR2" s="88" t="str">
        <f t="shared" si="1"/>
        <v/>
      </c>
      <c r="DS2" s="88" t="str">
        <f t="shared" si="1"/>
        <v/>
      </c>
      <c r="DT2" s="88" t="str">
        <f t="shared" si="1"/>
        <v/>
      </c>
      <c r="DU2" s="88" t="str">
        <f t="shared" si="1"/>
        <v/>
      </c>
      <c r="DV2" s="88" t="str">
        <f t="shared" si="1"/>
        <v/>
      </c>
      <c r="DW2" s="88" t="str">
        <f t="shared" si="1"/>
        <v/>
      </c>
      <c r="DX2" s="88" t="str">
        <f t="shared" si="1"/>
        <v/>
      </c>
      <c r="DY2" s="88" t="str">
        <f t="shared" si="1"/>
        <v/>
      </c>
      <c r="DZ2" s="88" t="str">
        <f t="shared" si="1"/>
        <v/>
      </c>
      <c r="EA2" s="88" t="str">
        <f t="shared" si="1"/>
        <v/>
      </c>
      <c r="EB2" s="88" t="str">
        <f t="shared" si="1"/>
        <v/>
      </c>
      <c r="EC2" s="88" t="str">
        <f t="shared" si="1"/>
        <v/>
      </c>
      <c r="ED2" s="88" t="str">
        <f t="shared" si="1"/>
        <v/>
      </c>
      <c r="EE2" s="88" t="str">
        <f t="shared" si="1"/>
        <v/>
      </c>
      <c r="EF2" s="88" t="str">
        <f t="shared" si="1"/>
        <v/>
      </c>
      <c r="EG2" s="88" t="str">
        <f t="shared" si="1"/>
        <v/>
      </c>
      <c r="EH2" s="88" t="str">
        <f t="shared" si="1"/>
        <v/>
      </c>
      <c r="EI2" s="88" t="str">
        <f t="shared" si="1"/>
        <v/>
      </c>
      <c r="EJ2" s="88" t="str">
        <f t="shared" si="1"/>
        <v/>
      </c>
      <c r="EK2" s="88" t="str">
        <f t="shared" si="1"/>
        <v/>
      </c>
      <c r="EL2" s="88" t="str">
        <f t="shared" si="1"/>
        <v/>
      </c>
      <c r="EM2" s="88" t="str">
        <f t="shared" si="1"/>
        <v/>
      </c>
      <c r="EN2" s="88" t="str">
        <f t="shared" si="1"/>
        <v/>
      </c>
      <c r="EO2" s="88" t="str">
        <f t="shared" si="1"/>
        <v/>
      </c>
      <c r="EP2" s="88" t="str">
        <f t="shared" si="1"/>
        <v/>
      </c>
      <c r="EQ2" s="88" t="str">
        <f t="shared" si="1"/>
        <v/>
      </c>
      <c r="ER2" s="88" t="str">
        <f t="shared" si="1"/>
        <v/>
      </c>
      <c r="ES2" s="88" t="str">
        <f t="shared" si="1"/>
        <v/>
      </c>
      <c r="ET2" s="88" t="str">
        <f t="shared" si="1"/>
        <v/>
      </c>
      <c r="EU2" s="88" t="str">
        <f t="shared" si="1"/>
        <v/>
      </c>
      <c r="EV2" s="88" t="str">
        <f t="shared" si="1"/>
        <v/>
      </c>
      <c r="EW2" s="88" t="str">
        <f t="shared" si="1"/>
        <v/>
      </c>
      <c r="EX2" s="88" t="str">
        <f t="shared" si="1"/>
        <v/>
      </c>
      <c r="EY2" s="88" t="str">
        <f t="shared" si="1"/>
        <v/>
      </c>
      <c r="EZ2" s="88" t="str">
        <f t="shared" si="1"/>
        <v/>
      </c>
      <c r="FA2" s="88" t="str">
        <f t="shared" si="1"/>
        <v/>
      </c>
      <c r="FB2" s="88" t="str">
        <f t="shared" si="1"/>
        <v/>
      </c>
      <c r="FC2" s="88" t="str">
        <f t="shared" si="1"/>
        <v/>
      </c>
      <c r="FD2" s="88" t="str">
        <f t="shared" si="1"/>
        <v/>
      </c>
      <c r="FE2" s="88" t="str">
        <f t="shared" si="1"/>
        <v/>
      </c>
      <c r="FF2" s="88" t="str">
        <f t="shared" si="1"/>
        <v/>
      </c>
      <c r="FG2" s="88" t="str">
        <f t="shared" si="1"/>
        <v/>
      </c>
      <c r="FH2" s="88" t="str">
        <f t="shared" si="1"/>
        <v/>
      </c>
      <c r="FI2" s="88" t="str">
        <f t="shared" ref="FI2:HT2" si="2">IF(FI3="","",FH2+1)</f>
        <v/>
      </c>
      <c r="FJ2" s="88" t="str">
        <f t="shared" si="2"/>
        <v/>
      </c>
      <c r="FK2" s="88" t="str">
        <f t="shared" si="2"/>
        <v/>
      </c>
      <c r="FL2" s="88" t="str">
        <f t="shared" si="2"/>
        <v/>
      </c>
      <c r="FM2" s="88" t="str">
        <f t="shared" si="2"/>
        <v/>
      </c>
      <c r="FN2" s="88" t="str">
        <f t="shared" si="2"/>
        <v/>
      </c>
      <c r="FO2" s="88" t="str">
        <f t="shared" si="2"/>
        <v/>
      </c>
      <c r="FP2" s="88" t="str">
        <f t="shared" si="2"/>
        <v/>
      </c>
      <c r="FQ2" s="88" t="str">
        <f t="shared" si="2"/>
        <v/>
      </c>
      <c r="FR2" s="88" t="str">
        <f t="shared" si="2"/>
        <v/>
      </c>
      <c r="FS2" s="88" t="str">
        <f t="shared" si="2"/>
        <v/>
      </c>
      <c r="FT2" s="88" t="str">
        <f t="shared" si="2"/>
        <v/>
      </c>
      <c r="FU2" s="88" t="str">
        <f t="shared" si="2"/>
        <v/>
      </c>
      <c r="FV2" s="88" t="str">
        <f t="shared" si="2"/>
        <v/>
      </c>
      <c r="FW2" s="88" t="str">
        <f t="shared" si="2"/>
        <v/>
      </c>
      <c r="FX2" s="88" t="str">
        <f t="shared" si="2"/>
        <v/>
      </c>
      <c r="FY2" s="88" t="str">
        <f t="shared" si="2"/>
        <v/>
      </c>
      <c r="FZ2" s="88" t="str">
        <f t="shared" si="2"/>
        <v/>
      </c>
      <c r="GA2" s="88" t="str">
        <f t="shared" si="2"/>
        <v/>
      </c>
      <c r="GB2" s="88" t="str">
        <f t="shared" si="2"/>
        <v/>
      </c>
      <c r="GC2" s="88" t="str">
        <f t="shared" si="2"/>
        <v/>
      </c>
      <c r="GD2" s="88" t="str">
        <f t="shared" si="2"/>
        <v/>
      </c>
      <c r="GE2" s="88" t="str">
        <f t="shared" si="2"/>
        <v/>
      </c>
      <c r="GF2" s="88" t="str">
        <f t="shared" si="2"/>
        <v/>
      </c>
      <c r="GG2" s="88" t="str">
        <f t="shared" si="2"/>
        <v/>
      </c>
      <c r="GH2" s="88" t="str">
        <f t="shared" si="2"/>
        <v/>
      </c>
      <c r="GI2" s="88" t="str">
        <f t="shared" si="2"/>
        <v/>
      </c>
      <c r="GJ2" s="88" t="str">
        <f t="shared" si="2"/>
        <v/>
      </c>
      <c r="GK2" s="88" t="str">
        <f t="shared" si="2"/>
        <v/>
      </c>
      <c r="GL2" s="88" t="str">
        <f t="shared" si="2"/>
        <v/>
      </c>
      <c r="GM2" s="88" t="str">
        <f t="shared" si="2"/>
        <v/>
      </c>
      <c r="GN2" s="88" t="str">
        <f t="shared" si="2"/>
        <v/>
      </c>
      <c r="GO2" s="88" t="str">
        <f t="shared" si="2"/>
        <v/>
      </c>
      <c r="GP2" s="88" t="str">
        <f t="shared" si="2"/>
        <v/>
      </c>
      <c r="GQ2" s="88" t="str">
        <f t="shared" si="2"/>
        <v/>
      </c>
      <c r="GR2" s="88" t="str">
        <f t="shared" si="2"/>
        <v/>
      </c>
      <c r="GS2" s="88" t="str">
        <f t="shared" si="2"/>
        <v/>
      </c>
      <c r="GT2" s="88" t="str">
        <f t="shared" si="2"/>
        <v/>
      </c>
      <c r="GU2" s="88" t="str">
        <f t="shared" si="2"/>
        <v/>
      </c>
      <c r="GV2" s="88" t="str">
        <f t="shared" si="2"/>
        <v/>
      </c>
      <c r="GW2" s="88" t="str">
        <f t="shared" si="2"/>
        <v/>
      </c>
      <c r="GX2" s="88" t="str">
        <f t="shared" si="2"/>
        <v/>
      </c>
      <c r="GY2" s="88" t="str">
        <f t="shared" si="2"/>
        <v/>
      </c>
      <c r="GZ2" s="88" t="str">
        <f t="shared" si="2"/>
        <v/>
      </c>
      <c r="HA2" s="88" t="str">
        <f t="shared" si="2"/>
        <v/>
      </c>
      <c r="HB2" s="88" t="str">
        <f t="shared" si="2"/>
        <v/>
      </c>
      <c r="HC2" s="88" t="str">
        <f t="shared" si="2"/>
        <v/>
      </c>
      <c r="HD2" s="88" t="str">
        <f t="shared" si="2"/>
        <v/>
      </c>
      <c r="HE2" s="88" t="str">
        <f t="shared" si="2"/>
        <v/>
      </c>
      <c r="HF2" s="88" t="str">
        <f t="shared" si="2"/>
        <v/>
      </c>
      <c r="HG2" s="88" t="str">
        <f t="shared" si="2"/>
        <v/>
      </c>
      <c r="HH2" s="88" t="str">
        <f t="shared" si="2"/>
        <v/>
      </c>
      <c r="HI2" s="88" t="str">
        <f t="shared" si="2"/>
        <v/>
      </c>
      <c r="HJ2" s="88" t="str">
        <f t="shared" si="2"/>
        <v/>
      </c>
      <c r="HK2" s="88" t="str">
        <f t="shared" si="2"/>
        <v/>
      </c>
      <c r="HL2" s="88" t="str">
        <f t="shared" si="2"/>
        <v/>
      </c>
      <c r="HM2" s="88" t="str">
        <f t="shared" si="2"/>
        <v/>
      </c>
      <c r="HN2" s="88" t="str">
        <f t="shared" si="2"/>
        <v/>
      </c>
      <c r="HO2" s="88" t="str">
        <f t="shared" si="2"/>
        <v/>
      </c>
      <c r="HP2" s="88" t="str">
        <f t="shared" si="2"/>
        <v/>
      </c>
      <c r="HQ2" s="88" t="str">
        <f t="shared" si="2"/>
        <v/>
      </c>
      <c r="HR2" s="88" t="str">
        <f t="shared" si="2"/>
        <v/>
      </c>
      <c r="HS2" s="88" t="str">
        <f t="shared" si="2"/>
        <v/>
      </c>
      <c r="HT2" s="88" t="str">
        <f t="shared" si="2"/>
        <v/>
      </c>
      <c r="HU2" s="88" t="str">
        <f t="shared" ref="HU2:IK2" si="3">IF(HU3="","",HT2+1)</f>
        <v/>
      </c>
      <c r="HV2" s="88" t="str">
        <f t="shared" si="3"/>
        <v/>
      </c>
      <c r="HW2" s="88" t="str">
        <f t="shared" si="3"/>
        <v/>
      </c>
      <c r="HX2" s="88" t="str">
        <f t="shared" si="3"/>
        <v/>
      </c>
      <c r="HY2" s="88" t="str">
        <f t="shared" si="3"/>
        <v/>
      </c>
      <c r="HZ2" s="88" t="str">
        <f t="shared" si="3"/>
        <v/>
      </c>
      <c r="IA2" s="88" t="str">
        <f t="shared" si="3"/>
        <v/>
      </c>
      <c r="IB2" s="88" t="str">
        <f t="shared" si="3"/>
        <v/>
      </c>
      <c r="IC2" s="88" t="str">
        <f t="shared" si="3"/>
        <v/>
      </c>
      <c r="ID2" s="88" t="str">
        <f t="shared" si="3"/>
        <v/>
      </c>
      <c r="IE2" s="88" t="str">
        <f t="shared" si="3"/>
        <v/>
      </c>
      <c r="IF2" s="88" t="str">
        <f t="shared" si="3"/>
        <v/>
      </c>
      <c r="IG2" s="88" t="str">
        <f t="shared" si="3"/>
        <v/>
      </c>
      <c r="IH2" s="88" t="str">
        <f t="shared" si="3"/>
        <v/>
      </c>
      <c r="II2" s="88" t="str">
        <f t="shared" si="3"/>
        <v/>
      </c>
      <c r="IJ2" s="88" t="str">
        <f t="shared" si="3"/>
        <v/>
      </c>
      <c r="IK2" s="88" t="str">
        <f t="shared" si="3"/>
        <v/>
      </c>
    </row>
    <row r="3" spans="1:245" s="94" customFormat="1" x14ac:dyDescent="0.2">
      <c r="A3" s="90" t="s">
        <v>124</v>
      </c>
      <c r="B3" s="91" t="s">
        <v>365</v>
      </c>
      <c r="C3" s="91" t="s">
        <v>390</v>
      </c>
      <c r="D3" s="92"/>
      <c r="E3" s="92"/>
      <c r="F3" s="93"/>
      <c r="G3" s="91"/>
      <c r="H3" s="91"/>
      <c r="I3" s="91"/>
      <c r="J3" s="91"/>
      <c r="K3" s="92"/>
      <c r="L3" s="92"/>
      <c r="M3" s="92"/>
      <c r="N3" s="92"/>
      <c r="O3" s="92"/>
      <c r="P3" s="92"/>
      <c r="Q3" s="92"/>
      <c r="R3" s="92"/>
      <c r="S3" s="92"/>
      <c r="T3" s="92"/>
      <c r="U3" s="92"/>
      <c r="V3" s="92"/>
      <c r="W3" s="92"/>
      <c r="X3" s="92"/>
      <c r="Y3" s="92"/>
      <c r="Z3" s="92"/>
      <c r="AA3" s="92"/>
      <c r="AB3" s="92"/>
      <c r="AC3" s="92"/>
      <c r="AD3" s="92"/>
      <c r="AE3" s="92"/>
      <c r="AF3" s="92"/>
      <c r="AG3" s="92"/>
      <c r="AH3" s="92"/>
      <c r="AI3" s="92"/>
      <c r="GC3" s="95"/>
      <c r="GD3" s="95"/>
      <c r="GE3" s="95"/>
      <c r="GF3" s="95"/>
      <c r="GG3" s="95"/>
      <c r="GH3" s="95"/>
      <c r="GI3" s="95"/>
      <c r="GJ3" s="95"/>
      <c r="GK3" s="95"/>
      <c r="GL3" s="95"/>
      <c r="GM3" s="95"/>
      <c r="GN3" s="95"/>
      <c r="GO3" s="95"/>
      <c r="GP3" s="95"/>
      <c r="GQ3" s="95"/>
      <c r="GR3" s="95"/>
      <c r="GS3" s="95"/>
      <c r="GT3" s="95"/>
      <c r="GU3" s="95"/>
      <c r="GV3" s="95"/>
      <c r="GW3" s="95"/>
      <c r="GX3" s="95"/>
      <c r="GY3" s="95"/>
      <c r="GZ3" s="95"/>
      <c r="HA3" s="95"/>
      <c r="HB3" s="95"/>
    </row>
    <row r="4" spans="1:245" s="94" customFormat="1" ht="51" x14ac:dyDescent="0.2">
      <c r="A4" s="90" t="s">
        <v>125</v>
      </c>
      <c r="B4" s="91" t="s">
        <v>359</v>
      </c>
      <c r="C4" s="230" t="s">
        <v>387</v>
      </c>
      <c r="D4" s="91" t="s">
        <v>383</v>
      </c>
      <c r="E4" s="91" t="s">
        <v>1248</v>
      </c>
      <c r="F4" s="93"/>
      <c r="G4" s="91"/>
      <c r="H4" s="91"/>
      <c r="I4" s="91"/>
      <c r="J4" s="91"/>
      <c r="K4" s="92"/>
      <c r="L4" s="91"/>
      <c r="M4" s="91"/>
      <c r="N4" s="91"/>
      <c r="O4" s="92"/>
      <c r="P4" s="92"/>
      <c r="Q4" s="91"/>
      <c r="R4" s="91"/>
      <c r="S4" s="91"/>
      <c r="T4" s="91"/>
      <c r="U4" s="91"/>
      <c r="V4" s="91"/>
      <c r="W4" s="91"/>
      <c r="X4" s="96"/>
      <c r="Y4" s="91"/>
      <c r="Z4" s="92"/>
      <c r="AA4" s="91"/>
      <c r="AB4" s="91"/>
      <c r="AC4" s="92"/>
      <c r="AD4" s="92"/>
      <c r="AE4" s="92"/>
      <c r="AF4" s="92"/>
      <c r="AG4" s="92"/>
      <c r="AH4" s="92"/>
      <c r="AI4" s="92"/>
      <c r="AQ4" s="97"/>
      <c r="AR4" s="97"/>
      <c r="AS4" s="97"/>
      <c r="AT4" s="97"/>
      <c r="AU4" s="97"/>
      <c r="AV4" s="97"/>
      <c r="AW4" s="97"/>
      <c r="GA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row>
    <row r="5" spans="1:245" s="102" customFormat="1" x14ac:dyDescent="0.2">
      <c r="A5" s="98" t="s">
        <v>126</v>
      </c>
      <c r="B5" s="99" t="s">
        <v>360</v>
      </c>
      <c r="C5" s="99" t="s">
        <v>388</v>
      </c>
      <c r="D5" s="99"/>
      <c r="E5" s="100" t="s">
        <v>1249</v>
      </c>
      <c r="F5" s="101"/>
      <c r="G5" s="99"/>
      <c r="H5" s="99"/>
      <c r="I5" s="99"/>
      <c r="J5" s="99"/>
      <c r="K5" s="99"/>
      <c r="L5" s="100"/>
      <c r="M5" s="99"/>
      <c r="N5" s="100"/>
      <c r="O5" s="100"/>
      <c r="P5" s="100"/>
      <c r="Q5" s="99"/>
      <c r="R5" s="100"/>
      <c r="S5" s="99"/>
      <c r="T5" s="100"/>
      <c r="U5" s="99"/>
      <c r="V5" s="100"/>
      <c r="W5" s="99"/>
      <c r="X5" s="100"/>
      <c r="Y5" s="99"/>
      <c r="Z5" s="99"/>
      <c r="AA5" s="100"/>
      <c r="AB5" s="100"/>
      <c r="AC5" s="100"/>
      <c r="AD5" s="100"/>
      <c r="AE5" s="100"/>
      <c r="AF5" s="100"/>
      <c r="AG5" s="100"/>
      <c r="AH5" s="100"/>
      <c r="AI5" s="100"/>
      <c r="DO5" s="103"/>
      <c r="GC5" s="104"/>
      <c r="GD5" s="104"/>
      <c r="GE5" s="104"/>
      <c r="GF5" s="104"/>
      <c r="GG5" s="104"/>
      <c r="GH5" s="104"/>
      <c r="GI5" s="104"/>
      <c r="GJ5" s="104"/>
      <c r="GK5" s="104"/>
      <c r="GL5" s="104"/>
      <c r="GM5" s="104"/>
      <c r="GN5" s="104"/>
      <c r="GO5" s="104"/>
      <c r="GP5" s="104"/>
      <c r="GQ5" s="104"/>
      <c r="GR5" s="104"/>
      <c r="GS5" s="104"/>
      <c r="GT5" s="104"/>
      <c r="GU5" s="104"/>
      <c r="GV5" s="104"/>
      <c r="GW5" s="105"/>
      <c r="GX5" s="104"/>
      <c r="GY5" s="104"/>
      <c r="GZ5" s="104"/>
      <c r="HA5" s="104"/>
      <c r="HB5" s="104"/>
    </row>
    <row r="6" spans="1:245" s="102" customFormat="1" ht="25.5" x14ac:dyDescent="0.2">
      <c r="A6" s="98" t="s">
        <v>127</v>
      </c>
      <c r="B6" s="99" t="s">
        <v>361</v>
      </c>
      <c r="C6" s="99" t="s">
        <v>389</v>
      </c>
      <c r="D6" s="100"/>
      <c r="E6" s="100" t="s">
        <v>1250</v>
      </c>
      <c r="F6" s="101"/>
      <c r="G6" s="99"/>
      <c r="H6" s="99"/>
      <c r="I6" s="99"/>
      <c r="J6" s="99"/>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GC6" s="104"/>
      <c r="GD6" s="104"/>
      <c r="GE6" s="104"/>
      <c r="GF6" s="104"/>
      <c r="GG6" s="104"/>
      <c r="GH6" s="104"/>
      <c r="GI6" s="104"/>
      <c r="GJ6" s="104"/>
      <c r="GK6" s="104"/>
      <c r="GL6" s="104"/>
      <c r="GM6" s="104"/>
      <c r="GN6" s="104"/>
      <c r="GO6" s="104"/>
      <c r="GP6" s="104"/>
      <c r="GQ6" s="104"/>
      <c r="GR6" s="104"/>
      <c r="GS6" s="104"/>
      <c r="GT6" s="104"/>
      <c r="GU6" s="104"/>
      <c r="GV6" s="104"/>
      <c r="GW6" s="104"/>
      <c r="GX6" s="104"/>
      <c r="GY6" s="104"/>
      <c r="GZ6" s="104"/>
      <c r="HA6" s="104"/>
      <c r="HB6" s="104"/>
    </row>
    <row r="7" spans="1:245" s="109" customFormat="1" x14ac:dyDescent="0.2">
      <c r="A7" s="90" t="s">
        <v>128</v>
      </c>
      <c r="B7" s="106" t="s">
        <v>362</v>
      </c>
      <c r="C7" s="106" t="s">
        <v>391</v>
      </c>
      <c r="D7" s="106"/>
      <c r="E7" s="107"/>
      <c r="F7" s="108"/>
      <c r="G7" s="106"/>
      <c r="H7" s="106"/>
      <c r="I7" s="106"/>
      <c r="J7" s="106"/>
      <c r="K7" s="107"/>
      <c r="L7" s="107"/>
      <c r="M7" s="106"/>
      <c r="N7" s="107"/>
      <c r="O7" s="107"/>
      <c r="P7" s="107"/>
      <c r="Q7" s="106"/>
      <c r="R7" s="107"/>
      <c r="S7" s="106"/>
      <c r="T7" s="107"/>
      <c r="U7" s="107"/>
      <c r="V7" s="107"/>
      <c r="W7" s="107"/>
      <c r="X7" s="107"/>
      <c r="Y7" s="107"/>
      <c r="Z7" s="107"/>
      <c r="AA7" s="107"/>
      <c r="AB7" s="107"/>
      <c r="AC7" s="107"/>
      <c r="AD7" s="107"/>
      <c r="AE7" s="107"/>
      <c r="AF7" s="107"/>
      <c r="AG7" s="107"/>
      <c r="AH7" s="107"/>
      <c r="AI7" s="107"/>
      <c r="GC7" s="110"/>
      <c r="GD7" s="110"/>
      <c r="GE7" s="110"/>
      <c r="GF7" s="110"/>
      <c r="GG7" s="110"/>
      <c r="GH7" s="110"/>
      <c r="GI7" s="110"/>
      <c r="GJ7" s="110"/>
      <c r="GK7" s="110"/>
      <c r="GL7" s="110"/>
      <c r="GM7" s="110"/>
      <c r="GN7" s="110"/>
      <c r="GO7" s="110"/>
      <c r="GP7" s="110"/>
      <c r="GQ7" s="110"/>
      <c r="GR7" s="110"/>
      <c r="GS7" s="110"/>
      <c r="GT7" s="110"/>
      <c r="GU7" s="110"/>
      <c r="GV7" s="110"/>
      <c r="GW7" s="110"/>
      <c r="GX7" s="110"/>
      <c r="GY7" s="110"/>
      <c r="GZ7" s="110"/>
      <c r="HA7" s="110"/>
      <c r="HB7" s="110"/>
    </row>
    <row r="8" spans="1:245" s="109" customFormat="1" x14ac:dyDescent="0.2">
      <c r="A8" s="90" t="s">
        <v>129</v>
      </c>
      <c r="B8" s="106"/>
      <c r="C8" s="106" t="s">
        <v>395</v>
      </c>
      <c r="D8" s="107"/>
      <c r="E8" s="107"/>
      <c r="F8" s="108"/>
      <c r="G8" s="106"/>
      <c r="H8" s="106"/>
      <c r="I8" s="106"/>
      <c r="J8" s="106"/>
      <c r="K8" s="107"/>
      <c r="L8" s="107"/>
      <c r="M8" s="107"/>
      <c r="N8" s="106"/>
      <c r="O8" s="107"/>
      <c r="P8" s="107"/>
      <c r="Q8" s="107"/>
      <c r="R8" s="107"/>
      <c r="S8" s="106"/>
      <c r="T8" s="107"/>
      <c r="U8" s="107"/>
      <c r="V8" s="107"/>
      <c r="W8" s="107"/>
      <c r="X8" s="107"/>
      <c r="Y8" s="107"/>
      <c r="Z8" s="107"/>
      <c r="AA8" s="107"/>
      <c r="AB8" s="107"/>
      <c r="AC8" s="107"/>
      <c r="AD8" s="107"/>
      <c r="AE8" s="107"/>
      <c r="AF8" s="107"/>
      <c r="AG8" s="107"/>
      <c r="AH8" s="107"/>
      <c r="AI8" s="107"/>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row>
    <row r="9" spans="1:245" s="102" customFormat="1" x14ac:dyDescent="0.2">
      <c r="A9" s="98" t="s">
        <v>130</v>
      </c>
      <c r="B9" s="99" t="s">
        <v>363</v>
      </c>
      <c r="C9" s="111"/>
      <c r="D9" s="111"/>
      <c r="E9" s="100"/>
      <c r="F9" s="101"/>
      <c r="G9" s="99"/>
      <c r="H9" s="99"/>
      <c r="I9" s="99"/>
      <c r="J9" s="99"/>
      <c r="K9" s="100"/>
      <c r="L9" s="99"/>
      <c r="M9" s="99"/>
      <c r="N9" s="100"/>
      <c r="O9" s="100"/>
      <c r="P9" s="100"/>
      <c r="Q9" s="111"/>
      <c r="R9" s="100"/>
      <c r="S9" s="99"/>
      <c r="T9" s="99"/>
      <c r="U9" s="99"/>
      <c r="V9" s="100"/>
      <c r="W9" s="100"/>
      <c r="X9" s="100"/>
      <c r="Y9" s="100"/>
      <c r="Z9" s="100"/>
      <c r="AA9" s="100"/>
      <c r="AB9" s="100"/>
      <c r="AC9" s="100"/>
      <c r="AD9" s="100"/>
      <c r="AE9" s="100"/>
      <c r="AF9" s="100"/>
      <c r="AG9" s="100"/>
      <c r="AH9" s="100"/>
      <c r="AI9" s="100"/>
      <c r="AY9" s="103"/>
      <c r="GC9" s="104"/>
      <c r="GD9" s="104"/>
      <c r="GE9" s="104"/>
      <c r="GF9" s="104"/>
      <c r="GG9" s="104"/>
      <c r="GH9" s="104"/>
      <c r="GI9" s="104"/>
      <c r="GJ9" s="104"/>
      <c r="GK9" s="104"/>
      <c r="GL9" s="104"/>
      <c r="GM9" s="104"/>
      <c r="GN9" s="104"/>
      <c r="GO9" s="104"/>
      <c r="GP9" s="104"/>
      <c r="GQ9" s="104"/>
      <c r="GR9" s="104"/>
      <c r="GS9" s="104"/>
      <c r="GT9" s="104"/>
      <c r="GU9" s="104"/>
      <c r="GV9" s="104"/>
      <c r="GW9" s="104"/>
      <c r="GX9" s="104"/>
      <c r="GY9" s="104"/>
      <c r="GZ9" s="104"/>
      <c r="HA9" s="104"/>
      <c r="HB9" s="104"/>
    </row>
    <row r="10" spans="1:245" s="102" customFormat="1" x14ac:dyDescent="0.2">
      <c r="A10" s="98" t="s">
        <v>131</v>
      </c>
      <c r="B10" s="99" t="s">
        <v>364</v>
      </c>
      <c r="C10" s="99"/>
      <c r="D10" s="99" t="s">
        <v>386</v>
      </c>
      <c r="E10" s="100"/>
      <c r="F10" s="101"/>
      <c r="G10" s="99"/>
      <c r="H10" s="99"/>
      <c r="I10" s="99"/>
      <c r="J10" s="99"/>
      <c r="K10" s="100"/>
      <c r="L10" s="100"/>
      <c r="M10" s="100"/>
      <c r="N10" s="100"/>
      <c r="O10" s="100"/>
      <c r="P10" s="100"/>
      <c r="Q10" s="99"/>
      <c r="R10" s="100"/>
      <c r="S10" s="100"/>
      <c r="T10" s="100"/>
      <c r="U10" s="100"/>
      <c r="V10" s="100"/>
      <c r="W10" s="100"/>
      <c r="X10" s="100"/>
      <c r="Y10" s="100"/>
      <c r="Z10" s="100"/>
      <c r="AA10" s="100"/>
      <c r="AB10" s="100"/>
      <c r="AC10" s="100"/>
      <c r="AD10" s="100"/>
      <c r="AE10" s="100"/>
      <c r="AF10" s="100"/>
      <c r="AG10" s="100"/>
      <c r="AH10" s="100"/>
      <c r="AI10" s="100"/>
      <c r="GC10" s="104"/>
      <c r="GD10" s="104"/>
      <c r="GE10" s="104"/>
      <c r="GF10" s="104"/>
      <c r="GG10" s="104"/>
      <c r="GH10" s="104"/>
      <c r="GI10" s="104"/>
      <c r="GJ10" s="104"/>
      <c r="GK10" s="104"/>
      <c r="GL10" s="104"/>
      <c r="GM10" s="104"/>
      <c r="GN10" s="104"/>
      <c r="GO10" s="104"/>
      <c r="GP10" s="104"/>
      <c r="GQ10" s="104"/>
      <c r="GR10" s="104"/>
      <c r="GS10" s="104"/>
      <c r="GT10" s="104"/>
      <c r="GU10" s="104"/>
      <c r="GV10" s="104"/>
      <c r="GW10" s="104"/>
      <c r="GX10" s="104"/>
      <c r="GY10" s="104"/>
      <c r="GZ10" s="104"/>
      <c r="HA10" s="104"/>
      <c r="HB10" s="104"/>
    </row>
    <row r="11" spans="1:245" s="109" customFormat="1" x14ac:dyDescent="0.2">
      <c r="A11" s="90" t="s">
        <v>132</v>
      </c>
      <c r="B11" s="106"/>
      <c r="C11" s="106"/>
      <c r="D11" s="107"/>
      <c r="E11" s="107"/>
      <c r="F11" s="108"/>
      <c r="G11" s="106"/>
      <c r="H11" s="106"/>
      <c r="I11" s="106"/>
      <c r="J11" s="106"/>
      <c r="K11" s="107"/>
      <c r="L11" s="107"/>
      <c r="M11" s="107"/>
      <c r="N11" s="107"/>
      <c r="O11" s="107"/>
      <c r="P11" s="107"/>
      <c r="Q11" s="107"/>
      <c r="R11" s="107"/>
      <c r="S11" s="106"/>
      <c r="T11" s="107"/>
      <c r="U11" s="107"/>
      <c r="V11" s="107"/>
      <c r="W11" s="107"/>
      <c r="X11" s="106"/>
      <c r="Y11" s="107"/>
      <c r="Z11" s="107"/>
      <c r="AA11" s="107"/>
      <c r="AB11" s="107"/>
      <c r="AC11" s="107"/>
      <c r="AD11" s="107"/>
      <c r="AE11" s="107"/>
      <c r="AF11" s="107"/>
      <c r="AG11" s="107"/>
      <c r="AH11" s="107"/>
      <c r="AI11" s="107"/>
      <c r="GC11" s="110"/>
      <c r="GD11" s="110"/>
      <c r="GE11" s="110"/>
      <c r="GF11" s="110"/>
      <c r="GG11" s="110"/>
      <c r="GH11" s="110"/>
      <c r="GI11" s="110"/>
      <c r="GJ11" s="110"/>
      <c r="GK11" s="110"/>
      <c r="GL11" s="110"/>
      <c r="GM11" s="110"/>
      <c r="GN11" s="110"/>
      <c r="GO11" s="110"/>
      <c r="GP11" s="110"/>
      <c r="GQ11" s="110"/>
      <c r="GR11" s="110"/>
      <c r="GS11" s="110"/>
      <c r="GT11" s="110"/>
      <c r="GU11" s="110"/>
      <c r="GV11" s="110"/>
      <c r="GW11" s="110"/>
      <c r="GX11" s="110"/>
      <c r="GY11" s="110"/>
      <c r="GZ11" s="110"/>
      <c r="HA11" s="110"/>
      <c r="HB11" s="110"/>
    </row>
    <row r="12" spans="1:245" s="109" customFormat="1" ht="25.5" x14ac:dyDescent="0.2">
      <c r="A12" s="90" t="s">
        <v>133</v>
      </c>
      <c r="B12" s="106"/>
      <c r="C12" s="106"/>
      <c r="D12" s="107"/>
      <c r="E12" s="107"/>
      <c r="F12" s="108"/>
      <c r="G12" s="106"/>
      <c r="H12" s="106"/>
      <c r="I12" s="106"/>
      <c r="J12" s="106"/>
      <c r="K12" s="107"/>
      <c r="L12" s="107"/>
      <c r="M12" s="107"/>
      <c r="N12" s="107"/>
      <c r="O12" s="107"/>
      <c r="P12" s="107"/>
      <c r="Q12" s="107"/>
      <c r="R12" s="107"/>
      <c r="S12" s="106"/>
      <c r="T12" s="107"/>
      <c r="U12" s="107"/>
      <c r="V12" s="107"/>
      <c r="W12" s="107"/>
      <c r="X12" s="106"/>
      <c r="Y12" s="107"/>
      <c r="Z12" s="107"/>
      <c r="AA12" s="107"/>
      <c r="AB12" s="107"/>
      <c r="AC12" s="107"/>
      <c r="AD12" s="107"/>
      <c r="AE12" s="107"/>
      <c r="AF12" s="107"/>
      <c r="AG12" s="107"/>
      <c r="AH12" s="107"/>
      <c r="AI12" s="107"/>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row>
    <row r="13" spans="1:245" s="102" customFormat="1" x14ac:dyDescent="0.2">
      <c r="A13" s="98" t="s">
        <v>134</v>
      </c>
      <c r="B13" s="99"/>
      <c r="C13" s="99"/>
      <c r="D13" s="100"/>
      <c r="E13" s="100"/>
      <c r="F13" s="101"/>
      <c r="G13" s="99"/>
      <c r="H13" s="99"/>
      <c r="I13" s="99"/>
      <c r="J13" s="99"/>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row>
    <row r="14" spans="1:245" s="102" customFormat="1" x14ac:dyDescent="0.2">
      <c r="A14" s="98" t="s">
        <v>135</v>
      </c>
      <c r="B14" s="99"/>
      <c r="C14" s="99"/>
      <c r="D14" s="100"/>
      <c r="E14" s="100"/>
      <c r="F14" s="101"/>
      <c r="G14" s="99"/>
      <c r="H14" s="99"/>
      <c r="I14" s="99"/>
      <c r="J14" s="99"/>
      <c r="K14" s="100"/>
      <c r="L14" s="100"/>
      <c r="M14" s="100"/>
      <c r="N14" s="99"/>
      <c r="O14" s="100"/>
      <c r="P14" s="100"/>
      <c r="Q14" s="100"/>
      <c r="R14" s="100"/>
      <c r="S14" s="100"/>
      <c r="T14" s="100"/>
      <c r="U14" s="100"/>
      <c r="V14" s="100"/>
      <c r="W14" s="100"/>
      <c r="X14" s="100"/>
      <c r="Y14" s="100"/>
      <c r="Z14" s="100"/>
      <c r="AA14" s="100"/>
      <c r="AB14" s="100"/>
      <c r="AC14" s="100"/>
      <c r="AD14" s="100"/>
      <c r="AE14" s="100"/>
      <c r="AF14" s="100"/>
      <c r="AG14" s="100"/>
      <c r="AH14" s="100"/>
      <c r="AI14" s="100"/>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row>
    <row r="15" spans="1:245" s="94" customFormat="1" ht="63.75" x14ac:dyDescent="0.2">
      <c r="A15" s="90" t="s">
        <v>136</v>
      </c>
      <c r="B15" s="91"/>
      <c r="C15" s="91" t="s">
        <v>392</v>
      </c>
      <c r="D15" s="92"/>
      <c r="E15" s="92" t="s">
        <v>1251</v>
      </c>
      <c r="F15" s="93"/>
      <c r="G15" s="91"/>
      <c r="H15" s="91"/>
      <c r="I15" s="91"/>
      <c r="J15" s="91"/>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row>
    <row r="16" spans="1:245" s="109" customFormat="1" x14ac:dyDescent="0.2">
      <c r="A16" s="90" t="s">
        <v>137</v>
      </c>
      <c r="B16" s="106"/>
      <c r="C16" s="106" t="s">
        <v>393</v>
      </c>
      <c r="D16" s="107"/>
      <c r="E16" s="107"/>
      <c r="F16" s="108"/>
      <c r="G16" s="106"/>
      <c r="H16" s="106"/>
      <c r="I16" s="106"/>
      <c r="J16" s="106"/>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CC16" s="94"/>
      <c r="GC16" s="110"/>
      <c r="GD16" s="110"/>
      <c r="GE16" s="110"/>
      <c r="GF16" s="110"/>
      <c r="GG16" s="110"/>
      <c r="GH16" s="110"/>
      <c r="GI16" s="110"/>
      <c r="GJ16" s="110"/>
      <c r="GK16" s="110"/>
      <c r="GL16" s="110"/>
      <c r="GM16" s="110"/>
      <c r="GN16" s="110"/>
      <c r="GO16" s="110"/>
      <c r="GP16" s="110"/>
      <c r="GQ16" s="110"/>
      <c r="GR16" s="110"/>
      <c r="GS16" s="110"/>
      <c r="GT16" s="110"/>
      <c r="GU16" s="110"/>
      <c r="GV16" s="110"/>
      <c r="GW16" s="110"/>
      <c r="GX16" s="110"/>
      <c r="GY16" s="110"/>
      <c r="GZ16" s="110"/>
      <c r="HA16" s="110"/>
      <c r="HB16" s="110"/>
    </row>
    <row r="17" spans="1:210" s="115" customFormat="1" x14ac:dyDescent="0.2">
      <c r="A17" s="98" t="s">
        <v>138</v>
      </c>
      <c r="B17" s="112"/>
      <c r="C17" s="112" t="s">
        <v>394</v>
      </c>
      <c r="D17" s="113"/>
      <c r="E17" s="113"/>
      <c r="F17" s="114"/>
      <c r="G17" s="112"/>
      <c r="H17" s="112"/>
      <c r="I17" s="112"/>
      <c r="J17" s="112"/>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row>
    <row r="18" spans="1:210" s="115" customFormat="1" x14ac:dyDescent="0.2">
      <c r="A18" s="98" t="s">
        <v>139</v>
      </c>
      <c r="B18" s="112"/>
      <c r="C18" s="112"/>
      <c r="D18" s="113"/>
      <c r="E18" s="113"/>
      <c r="F18" s="114"/>
      <c r="G18" s="112"/>
      <c r="H18" s="112"/>
      <c r="I18" s="112"/>
      <c r="J18" s="112"/>
      <c r="K18" s="113"/>
      <c r="L18" s="113"/>
      <c r="M18" s="113"/>
      <c r="N18" s="113"/>
      <c r="O18" s="113"/>
      <c r="P18" s="113"/>
      <c r="Q18" s="113"/>
      <c r="R18" s="113"/>
      <c r="S18" s="113"/>
      <c r="T18" s="113"/>
      <c r="U18" s="113"/>
      <c r="V18" s="113"/>
      <c r="W18" s="113"/>
      <c r="X18" s="117"/>
      <c r="Y18" s="113"/>
      <c r="Z18" s="113"/>
      <c r="AA18" s="113"/>
      <c r="AB18" s="113"/>
      <c r="AC18" s="113"/>
      <c r="AD18" s="113"/>
      <c r="AE18" s="113"/>
      <c r="AF18" s="113"/>
      <c r="AG18" s="113"/>
      <c r="AH18" s="113"/>
      <c r="AI18" s="113"/>
      <c r="GC18" s="116"/>
      <c r="GD18" s="116"/>
      <c r="GE18" s="116"/>
      <c r="GF18" s="116"/>
      <c r="GG18" s="116"/>
      <c r="GH18" s="116"/>
      <c r="GI18" s="116"/>
      <c r="GJ18" s="116"/>
      <c r="GK18" s="116"/>
      <c r="GL18" s="116"/>
      <c r="GM18" s="116"/>
      <c r="GN18" s="116"/>
      <c r="GO18" s="116"/>
      <c r="GP18" s="116"/>
      <c r="GQ18" s="116"/>
      <c r="GR18" s="116"/>
      <c r="GS18" s="116"/>
      <c r="GT18" s="116"/>
      <c r="GU18" s="116"/>
      <c r="GV18" s="116"/>
      <c r="GW18" s="116"/>
      <c r="GX18" s="116"/>
      <c r="GY18" s="116"/>
      <c r="GZ18" s="116"/>
      <c r="HA18" s="116"/>
      <c r="HB18" s="116"/>
    </row>
    <row r="19" spans="1:210" s="94" customFormat="1" x14ac:dyDescent="0.2">
      <c r="A19" s="90" t="s">
        <v>140</v>
      </c>
      <c r="B19" s="91"/>
      <c r="C19" s="91"/>
      <c r="D19" s="92"/>
      <c r="E19" s="92"/>
      <c r="F19" s="93"/>
      <c r="G19" s="91"/>
      <c r="H19" s="91"/>
      <c r="I19" s="91"/>
      <c r="J19" s="91"/>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row>
    <row r="20" spans="1:210" s="123" customFormat="1" x14ac:dyDescent="0.25">
      <c r="A20" s="118" t="s">
        <v>141</v>
      </c>
      <c r="B20" s="119"/>
      <c r="C20" s="233" t="s">
        <v>358</v>
      </c>
      <c r="D20" s="233" t="s">
        <v>373</v>
      </c>
      <c r="E20" s="119" t="s">
        <v>1252</v>
      </c>
      <c r="F20" s="121"/>
      <c r="G20" s="119"/>
      <c r="H20" s="119"/>
      <c r="I20" s="119"/>
      <c r="J20" s="119"/>
      <c r="K20" s="120"/>
      <c r="L20" s="120"/>
      <c r="M20" s="122"/>
      <c r="N20" s="120"/>
      <c r="P20" s="124"/>
      <c r="Q20" s="120"/>
      <c r="R20" s="120"/>
      <c r="T20" s="120"/>
      <c r="U20" s="120"/>
      <c r="V20" s="120"/>
      <c r="W20" s="120"/>
      <c r="X20" s="120"/>
      <c r="Y20" s="120"/>
      <c r="Z20" s="120"/>
      <c r="AA20" s="124"/>
      <c r="AB20" s="124"/>
      <c r="AC20" s="124"/>
      <c r="AD20" s="124"/>
      <c r="AE20" s="124"/>
      <c r="AF20" s="124"/>
      <c r="AG20" s="124"/>
      <c r="AH20" s="124"/>
      <c r="AI20" s="124"/>
      <c r="AJ20" s="124"/>
      <c r="AK20" s="124"/>
      <c r="AL20" s="124"/>
      <c r="AM20" s="124"/>
      <c r="AN20" s="124"/>
      <c r="AO20" s="124"/>
      <c r="AP20" s="124"/>
      <c r="AQ20" s="124"/>
      <c r="AR20" s="124"/>
      <c r="AS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X20" s="124"/>
      <c r="BY20" s="124"/>
      <c r="BZ20" s="124"/>
      <c r="CA20" s="124"/>
      <c r="CB20" s="124"/>
      <c r="CC20" s="124"/>
      <c r="CD20" s="124"/>
      <c r="CE20" s="124"/>
      <c r="CF20" s="124"/>
      <c r="CG20" s="124"/>
      <c r="CH20" s="124"/>
      <c r="CI20" s="124"/>
      <c r="CK20" s="124"/>
      <c r="CL20" s="124"/>
      <c r="CN20" s="124"/>
      <c r="CO20" s="124"/>
      <c r="CP20" s="124"/>
      <c r="CQ20" s="124"/>
      <c r="CR20" s="124"/>
      <c r="CS20" s="124"/>
      <c r="CT20" s="124"/>
      <c r="CU20" s="124"/>
      <c r="CW20" s="124"/>
      <c r="CX20" s="124"/>
      <c r="CY20" s="124"/>
      <c r="CZ20" s="124"/>
      <c r="DA20" s="124"/>
      <c r="DB20" s="124"/>
      <c r="DC20" s="124"/>
      <c r="DD20" s="124"/>
      <c r="DE20" s="124"/>
      <c r="DF20" s="124"/>
      <c r="DG20" s="124"/>
      <c r="DH20" s="124"/>
      <c r="DI20" s="124"/>
      <c r="DJ20" s="124"/>
      <c r="DK20" s="124"/>
      <c r="DL20" s="124"/>
      <c r="DM20" s="124"/>
      <c r="DN20" s="124"/>
      <c r="DO20" s="124"/>
      <c r="DP20" s="124"/>
      <c r="DQ20" s="124"/>
      <c r="DR20" s="124"/>
      <c r="DS20" s="124"/>
      <c r="DT20" s="124"/>
      <c r="GC20" s="122"/>
      <c r="GE20" s="122"/>
      <c r="GI20" s="122"/>
      <c r="GJ20" s="122"/>
      <c r="GK20" s="122"/>
      <c r="GM20" s="122"/>
      <c r="GN20" s="122"/>
      <c r="GO20" s="122"/>
      <c r="GP20" s="122"/>
      <c r="GQ20" s="122"/>
      <c r="GR20" s="122"/>
      <c r="GS20" s="122"/>
      <c r="GT20" s="122"/>
      <c r="GU20" s="122"/>
      <c r="GV20" s="122"/>
      <c r="GW20" s="122"/>
      <c r="GX20" s="122"/>
      <c r="GY20" s="122"/>
      <c r="GZ20" s="122"/>
      <c r="HA20" s="122"/>
      <c r="HB20" s="122"/>
    </row>
    <row r="21" spans="1:210" s="106" customFormat="1" ht="25.5" x14ac:dyDescent="0.25">
      <c r="A21" s="125" t="s">
        <v>142</v>
      </c>
      <c r="B21" s="126"/>
      <c r="C21" s="126" t="s">
        <v>369</v>
      </c>
      <c r="D21" s="127" t="s">
        <v>384</v>
      </c>
      <c r="E21" s="126" t="s">
        <v>1253</v>
      </c>
      <c r="F21" s="128"/>
      <c r="G21" s="126"/>
      <c r="H21" s="126"/>
      <c r="I21" s="126"/>
      <c r="J21" s="126"/>
      <c r="K21" s="127"/>
      <c r="L21" s="127"/>
      <c r="M21" s="129"/>
      <c r="N21" s="127"/>
      <c r="P21" s="130"/>
      <c r="Q21" s="127"/>
      <c r="R21" s="127"/>
      <c r="T21" s="127"/>
      <c r="U21" s="127"/>
      <c r="V21" s="127"/>
      <c r="W21" s="127"/>
      <c r="X21" s="127"/>
      <c r="Y21" s="127"/>
      <c r="Z21" s="127"/>
      <c r="AA21" s="130"/>
      <c r="AB21" s="130"/>
      <c r="AC21" s="130"/>
      <c r="AD21" s="130"/>
      <c r="AE21" s="130"/>
      <c r="AF21" s="130"/>
      <c r="AG21" s="130"/>
      <c r="AH21" s="130"/>
      <c r="AI21" s="130"/>
      <c r="AJ21" s="130"/>
      <c r="AK21" s="130"/>
      <c r="AL21" s="130"/>
      <c r="AM21" s="130"/>
      <c r="AN21" s="130"/>
      <c r="AO21" s="130"/>
      <c r="AP21" s="130"/>
      <c r="AQ21" s="130"/>
      <c r="AR21" s="130"/>
      <c r="AS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X21" s="130"/>
      <c r="BY21" s="130"/>
      <c r="BZ21" s="130"/>
      <c r="CA21" s="130"/>
      <c r="CB21" s="130"/>
      <c r="CC21" s="130"/>
      <c r="CD21" s="130"/>
      <c r="CE21" s="130"/>
      <c r="CF21" s="130"/>
      <c r="CG21" s="130"/>
      <c r="CH21" s="130"/>
      <c r="CI21" s="130"/>
      <c r="CK21" s="130"/>
      <c r="CL21" s="130"/>
      <c r="CN21" s="130"/>
      <c r="CO21" s="130"/>
      <c r="CP21" s="130"/>
      <c r="CQ21" s="130"/>
      <c r="CR21" s="130"/>
      <c r="CS21" s="130"/>
      <c r="CT21" s="130"/>
      <c r="CU21" s="130"/>
      <c r="CW21" s="130"/>
      <c r="CX21" s="130"/>
      <c r="CY21" s="130"/>
      <c r="CZ21" s="130"/>
      <c r="DA21" s="130"/>
      <c r="DB21" s="130"/>
      <c r="DC21" s="130"/>
      <c r="DD21" s="130"/>
      <c r="DE21" s="130"/>
      <c r="DF21" s="130"/>
      <c r="DG21" s="130"/>
      <c r="DH21" s="130"/>
      <c r="DI21" s="130"/>
      <c r="DJ21" s="130"/>
      <c r="DK21" s="130"/>
      <c r="DL21" s="130"/>
      <c r="DM21" s="130"/>
      <c r="DN21" s="130"/>
      <c r="DO21" s="130"/>
      <c r="DP21" s="130"/>
      <c r="DQ21" s="130"/>
      <c r="DR21" s="130"/>
      <c r="DS21" s="130"/>
      <c r="DT21" s="130"/>
      <c r="GC21" s="129"/>
      <c r="GE21" s="129"/>
      <c r="GI21" s="129"/>
      <c r="GJ21" s="129"/>
      <c r="GK21" s="129"/>
      <c r="GM21" s="129"/>
      <c r="GN21" s="129"/>
      <c r="GO21" s="129"/>
      <c r="GP21" s="129"/>
      <c r="GQ21" s="129"/>
      <c r="GR21" s="129"/>
      <c r="GS21" s="129"/>
      <c r="GT21" s="129"/>
      <c r="GU21" s="129"/>
      <c r="GV21" s="129"/>
      <c r="GW21" s="129"/>
      <c r="GX21" s="129"/>
      <c r="GY21" s="129"/>
      <c r="GZ21" s="129"/>
      <c r="HA21" s="129"/>
      <c r="HB21" s="129"/>
    </row>
    <row r="22" spans="1:210" s="102" customFormat="1" x14ac:dyDescent="0.2">
      <c r="A22" s="98" t="s">
        <v>143</v>
      </c>
      <c r="B22" s="99" t="s">
        <v>370</v>
      </c>
      <c r="C22" s="99" t="s">
        <v>111</v>
      </c>
      <c r="D22" s="100"/>
      <c r="E22" s="100" t="s">
        <v>1255</v>
      </c>
      <c r="F22" s="101"/>
      <c r="G22" s="99"/>
      <c r="H22" s="99"/>
      <c r="I22" s="99"/>
      <c r="J22" s="99"/>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row>
    <row r="23" spans="1:210" s="115" customFormat="1" ht="25.5" x14ac:dyDescent="0.2">
      <c r="A23" s="98" t="s">
        <v>144</v>
      </c>
      <c r="B23" s="112" t="s">
        <v>367</v>
      </c>
      <c r="C23" s="112" t="s">
        <v>396</v>
      </c>
      <c r="D23" s="112"/>
      <c r="E23" s="113" t="s">
        <v>1254</v>
      </c>
      <c r="F23" s="114"/>
      <c r="G23" s="99"/>
      <c r="H23" s="112"/>
      <c r="I23" s="112"/>
      <c r="J23" s="112"/>
      <c r="K23" s="100"/>
      <c r="L23" s="113"/>
      <c r="M23" s="99"/>
      <c r="N23" s="113"/>
      <c r="O23" s="113"/>
      <c r="P23" s="113"/>
      <c r="Q23" s="112"/>
      <c r="R23" s="113"/>
      <c r="S23" s="112"/>
      <c r="T23" s="113"/>
      <c r="U23" s="113"/>
      <c r="V23" s="113"/>
      <c r="W23" s="113"/>
      <c r="X23" s="112"/>
      <c r="Y23" s="113"/>
      <c r="Z23" s="113"/>
      <c r="AA23" s="113"/>
      <c r="AB23" s="113"/>
      <c r="AC23" s="113"/>
      <c r="AD23" s="113"/>
      <c r="AE23" s="113"/>
      <c r="AF23" s="113"/>
      <c r="AG23" s="113"/>
      <c r="AH23" s="113"/>
      <c r="AI23" s="113"/>
      <c r="GC23" s="116"/>
      <c r="GD23" s="116"/>
      <c r="GE23" s="116"/>
      <c r="GF23" s="116"/>
      <c r="GG23" s="116"/>
      <c r="GH23" s="116"/>
      <c r="GI23" s="116"/>
      <c r="GJ23" s="116"/>
      <c r="GK23" s="116"/>
      <c r="GL23" s="116"/>
      <c r="GM23" s="116"/>
      <c r="GN23" s="116"/>
      <c r="GO23" s="116"/>
      <c r="GP23" s="116"/>
      <c r="GQ23" s="116"/>
      <c r="GR23" s="116"/>
      <c r="GS23" s="116"/>
      <c r="GT23" s="116"/>
      <c r="GU23" s="116"/>
      <c r="GV23" s="116"/>
      <c r="GW23" s="116"/>
      <c r="GX23" s="116"/>
      <c r="GY23" s="116"/>
      <c r="GZ23" s="116"/>
      <c r="HA23" s="116"/>
      <c r="HB23" s="116"/>
    </row>
    <row r="24" spans="1:210" s="109" customFormat="1" ht="25.5" x14ac:dyDescent="0.2">
      <c r="A24" s="90" t="s">
        <v>145</v>
      </c>
      <c r="B24" s="106" t="s">
        <v>368</v>
      </c>
      <c r="C24" s="91" t="s">
        <v>397</v>
      </c>
      <c r="D24" s="92"/>
      <c r="E24" s="107" t="s">
        <v>368</v>
      </c>
      <c r="F24" s="108"/>
      <c r="G24" s="91"/>
      <c r="H24" s="106"/>
      <c r="I24" s="106"/>
      <c r="J24" s="106"/>
      <c r="K24" s="92"/>
      <c r="L24" s="107"/>
      <c r="M24" s="91"/>
      <c r="N24" s="107"/>
      <c r="O24" s="107"/>
      <c r="P24" s="107"/>
      <c r="Q24" s="92"/>
      <c r="R24" s="107"/>
      <c r="S24" s="91"/>
      <c r="T24" s="107"/>
      <c r="U24" s="107"/>
      <c r="V24" s="107"/>
      <c r="W24" s="107"/>
      <c r="X24" s="107"/>
      <c r="Y24" s="107"/>
      <c r="Z24" s="107"/>
      <c r="AA24" s="107"/>
      <c r="AB24" s="107"/>
      <c r="AC24" s="107"/>
      <c r="AD24" s="107"/>
      <c r="AE24" s="107"/>
      <c r="AF24" s="107"/>
      <c r="AG24" s="107"/>
      <c r="AH24" s="107"/>
      <c r="AI24" s="107"/>
      <c r="GC24" s="110"/>
      <c r="GD24" s="110"/>
      <c r="GE24" s="110"/>
      <c r="GF24" s="110"/>
      <c r="GG24" s="110"/>
      <c r="GH24" s="110"/>
      <c r="GI24" s="110"/>
      <c r="GJ24" s="110"/>
      <c r="GK24" s="110"/>
      <c r="GL24" s="110"/>
      <c r="GM24" s="110"/>
      <c r="GN24" s="110"/>
      <c r="GO24" s="110"/>
      <c r="GP24" s="110"/>
      <c r="GQ24" s="110"/>
      <c r="GR24" s="110"/>
      <c r="GS24" s="110"/>
      <c r="GT24" s="110"/>
      <c r="GU24" s="110"/>
      <c r="GV24" s="110"/>
      <c r="GW24" s="110"/>
      <c r="GX24" s="110"/>
      <c r="GY24" s="110"/>
      <c r="GZ24" s="110"/>
      <c r="HA24" s="110"/>
      <c r="HB24" s="110"/>
    </row>
    <row r="25" spans="1:210" s="94" customFormat="1" x14ac:dyDescent="0.2">
      <c r="A25" s="90" t="s">
        <v>146</v>
      </c>
      <c r="B25" s="91"/>
      <c r="C25" s="91"/>
      <c r="D25" s="91"/>
      <c r="E25" s="92"/>
      <c r="F25" s="93"/>
      <c r="G25" s="91"/>
      <c r="H25" s="91"/>
      <c r="I25" s="91"/>
      <c r="J25" s="91"/>
      <c r="K25" s="92"/>
      <c r="L25" s="92"/>
      <c r="M25" s="91"/>
      <c r="N25" s="92"/>
      <c r="O25" s="92"/>
      <c r="P25" s="92"/>
      <c r="Q25" s="91"/>
      <c r="R25" s="92"/>
      <c r="S25" s="91"/>
      <c r="T25" s="92"/>
      <c r="U25" s="92"/>
      <c r="V25" s="92"/>
      <c r="W25" s="92"/>
      <c r="X25" s="92"/>
      <c r="Y25" s="92"/>
      <c r="Z25" s="92"/>
      <c r="AA25" s="92"/>
      <c r="AB25" s="92"/>
      <c r="AC25" s="92"/>
      <c r="AD25" s="92"/>
      <c r="AE25" s="92"/>
      <c r="AF25" s="92"/>
      <c r="AG25" s="92"/>
      <c r="AH25" s="92"/>
      <c r="AI25" s="92"/>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row>
    <row r="26" spans="1:210" s="102" customFormat="1" ht="103.5" customHeight="1" x14ac:dyDescent="0.2">
      <c r="A26" s="103" t="s">
        <v>147</v>
      </c>
      <c r="B26" s="99" t="s">
        <v>1059</v>
      </c>
      <c r="C26" s="99" t="s">
        <v>1060</v>
      </c>
      <c r="D26" s="99" t="s">
        <v>385</v>
      </c>
      <c r="E26" s="99" t="s">
        <v>1256</v>
      </c>
      <c r="F26" s="131"/>
      <c r="G26" s="99"/>
      <c r="H26" s="99"/>
      <c r="I26" s="99"/>
      <c r="J26" s="99"/>
      <c r="K26" s="132"/>
      <c r="L26" s="99"/>
      <c r="M26" s="99"/>
      <c r="N26" s="99"/>
      <c r="O26" s="99"/>
      <c r="P26" s="99"/>
      <c r="Q26" s="99"/>
      <c r="R26" s="99"/>
      <c r="S26" s="99"/>
      <c r="T26" s="99"/>
      <c r="U26" s="99"/>
      <c r="V26" s="99"/>
      <c r="W26" s="99"/>
      <c r="X26" s="99"/>
      <c r="Y26" s="99"/>
      <c r="Z26" s="99"/>
      <c r="AA26" s="133"/>
      <c r="AB26" s="133"/>
      <c r="AC26" s="133"/>
      <c r="AD26" s="99"/>
      <c r="AE26" s="133"/>
      <c r="AF26" s="133"/>
      <c r="AG26" s="133"/>
      <c r="AH26" s="133"/>
      <c r="AI26" s="133"/>
      <c r="AJ26" s="103"/>
      <c r="AK26" s="134"/>
      <c r="AL26" s="134"/>
      <c r="AM26" s="134"/>
      <c r="AN26" s="134"/>
      <c r="AO26" s="134"/>
      <c r="AP26" s="134"/>
      <c r="AQ26" s="134"/>
      <c r="AR26" s="134"/>
      <c r="AS26" s="134"/>
      <c r="AU26" s="103"/>
      <c r="AV26" s="103"/>
      <c r="AW26" s="103"/>
      <c r="AX26" s="103"/>
      <c r="BL26" s="134"/>
      <c r="DS26" s="103"/>
      <c r="DT26" s="103"/>
      <c r="GC26" s="104"/>
      <c r="GD26" s="104"/>
      <c r="GE26" s="104"/>
      <c r="GF26" s="104"/>
      <c r="GG26" s="104"/>
      <c r="GH26" s="104"/>
      <c r="GI26" s="104"/>
      <c r="GJ26" s="104"/>
      <c r="GK26" s="105"/>
      <c r="GL26" s="104"/>
      <c r="GM26" s="104"/>
      <c r="GN26" s="104"/>
      <c r="GO26" s="104"/>
      <c r="GP26" s="104"/>
      <c r="GQ26" s="104"/>
      <c r="GR26" s="104"/>
      <c r="GS26" s="104"/>
      <c r="GT26" s="104"/>
      <c r="GU26" s="104"/>
      <c r="GV26" s="104"/>
      <c r="GW26" s="104"/>
      <c r="GX26" s="104"/>
      <c r="GY26" s="104"/>
      <c r="GZ26" s="104"/>
      <c r="HA26" s="135"/>
      <c r="HB26" s="135"/>
    </row>
    <row r="27" spans="1:210" s="102" customFormat="1" ht="25.5" x14ac:dyDescent="0.25">
      <c r="A27" s="98" t="s">
        <v>148</v>
      </c>
      <c r="B27" s="99" t="s">
        <v>366</v>
      </c>
      <c r="C27" s="99"/>
      <c r="D27" s="100"/>
      <c r="E27" s="100" t="s">
        <v>1257</v>
      </c>
      <c r="F27" s="101"/>
      <c r="G27" s="99"/>
      <c r="H27" s="99"/>
      <c r="I27" s="99"/>
      <c r="J27" s="99"/>
      <c r="K27" s="100"/>
      <c r="L27" s="100"/>
      <c r="M27" s="100"/>
      <c r="N27" s="100"/>
      <c r="O27" s="100"/>
      <c r="P27" s="100"/>
      <c r="Q27" s="100"/>
      <c r="R27" s="100"/>
      <c r="S27" s="99"/>
      <c r="T27" s="100"/>
      <c r="U27" s="100"/>
      <c r="V27" s="100"/>
      <c r="W27" s="100"/>
      <c r="X27" s="99"/>
      <c r="Y27" s="100"/>
      <c r="Z27" s="100"/>
      <c r="AA27" s="100"/>
      <c r="AB27" s="100"/>
      <c r="AC27" s="100"/>
      <c r="AD27" s="100"/>
      <c r="AE27" s="100"/>
      <c r="AF27" s="100"/>
      <c r="AG27" s="100"/>
      <c r="AH27" s="100"/>
      <c r="AI27" s="100"/>
    </row>
    <row r="28" spans="1:210" s="136" customFormat="1" ht="12.75" customHeight="1" x14ac:dyDescent="0.25">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row>
    <row r="29" spans="1:210" s="136" customFormat="1" ht="12.75" customHeight="1" x14ac:dyDescent="0.25">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row>
    <row r="30" spans="1:210" s="136" customFormat="1" ht="12.75" customHeight="1" x14ac:dyDescent="0.25">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row>
    <row r="31" spans="1:210" s="136" customFormat="1" ht="12.75" customHeight="1" x14ac:dyDescent="0.25">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row>
    <row r="32" spans="1:210" s="136" customFormat="1" ht="12.75" customHeight="1" x14ac:dyDescent="0.25">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row>
    <row r="33" spans="2:35" s="136" customFormat="1" ht="12.75" customHeight="1" x14ac:dyDescent="0.25">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row>
    <row r="34" spans="2:35" s="136" customFormat="1" ht="12.75" customHeight="1" x14ac:dyDescent="0.25">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row>
    <row r="35" spans="2:35" s="136" customFormat="1" ht="12.75" customHeight="1" x14ac:dyDescent="0.25">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row>
    <row r="36" spans="2:35" s="136" customFormat="1" ht="12.75" customHeight="1" x14ac:dyDescent="0.25">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row>
    <row r="37" spans="2:35" s="136" customFormat="1" ht="12.75" customHeight="1" x14ac:dyDescent="0.25">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row>
    <row r="38" spans="2:35" s="136" customFormat="1" ht="12.75" customHeight="1" x14ac:dyDescent="0.25">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row>
    <row r="39" spans="2:35" s="136" customFormat="1" ht="12.75" customHeight="1" x14ac:dyDescent="0.25">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row>
    <row r="40" spans="2:35" s="136" customFormat="1" ht="12.75" customHeight="1" x14ac:dyDescent="0.25">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row>
    <row r="50" spans="1:35" ht="12.75" customHeight="1" x14ac:dyDescent="0.2">
      <c r="A50" s="138" t="s">
        <v>149</v>
      </c>
    </row>
    <row r="51" spans="1:35" s="141" customFormat="1" ht="12.75" customHeight="1" x14ac:dyDescent="0.25">
      <c r="B51" s="142" t="s">
        <v>150</v>
      </c>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row>
    <row r="52" spans="1:35" ht="12.75" customHeight="1" x14ac:dyDescent="0.2">
      <c r="B52" s="143" t="s">
        <v>78</v>
      </c>
    </row>
    <row r="53" spans="1:35" ht="12.75" customHeight="1" x14ac:dyDescent="0.2">
      <c r="B53" s="144" t="s">
        <v>151</v>
      </c>
    </row>
    <row r="54" spans="1:35" ht="12.75" customHeight="1" x14ac:dyDescent="0.2">
      <c r="B54" s="144" t="s">
        <v>152</v>
      </c>
    </row>
    <row r="55" spans="1:35" ht="12.75" customHeight="1" x14ac:dyDescent="0.2">
      <c r="B55" s="144" t="s">
        <v>153</v>
      </c>
    </row>
    <row r="56" spans="1:35" ht="12.75" customHeight="1" x14ac:dyDescent="0.2">
      <c r="B56" s="144" t="s">
        <v>154</v>
      </c>
    </row>
    <row r="57" spans="1:35" ht="12.75" customHeight="1" x14ac:dyDescent="0.2">
      <c r="B57" s="144" t="s">
        <v>155</v>
      </c>
    </row>
    <row r="58" spans="1:35" ht="12.75" customHeight="1" x14ac:dyDescent="0.2">
      <c r="B58" s="144" t="s">
        <v>156</v>
      </c>
    </row>
    <row r="59" spans="1:35" ht="12.75" customHeight="1" x14ac:dyDescent="0.2">
      <c r="B59" s="144" t="s">
        <v>157</v>
      </c>
    </row>
    <row r="60" spans="1:35" ht="12.75" customHeight="1" x14ac:dyDescent="0.2">
      <c r="B60" s="144" t="s">
        <v>158</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C20" r:id="rId1"/>
    <hyperlink ref="D20" r:id="rId2"/>
  </hyperlinks>
  <pageMargins left="0.25" right="0.25" top="0.5" bottom="0.5" header="0.3" footer="0.3"/>
  <pageSetup scale="99" orientation="landscape" r:id="rId3"/>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showWhiteSpace="0" zoomScaleNormal="100" zoomScalePageLayoutView="85" workbookViewId="0">
      <selection activeCell="I5" sqref="I5"/>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424" t="s">
        <v>18</v>
      </c>
      <c r="B1" s="424"/>
      <c r="C1" s="424"/>
      <c r="D1" s="424"/>
      <c r="E1" s="424"/>
      <c r="F1" s="424"/>
      <c r="G1" s="424"/>
      <c r="H1" s="424"/>
      <c r="I1" s="424"/>
      <c r="J1" s="424"/>
      <c r="K1" s="424"/>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45" t="s">
        <v>159</v>
      </c>
      <c r="C2" s="146"/>
      <c r="D2" s="146"/>
      <c r="E2" s="146"/>
      <c r="F2" s="146"/>
      <c r="G2" s="146"/>
      <c r="H2" s="146"/>
    </row>
    <row r="3" spans="1:39" s="144" customFormat="1" ht="40.5" customHeight="1" x14ac:dyDescent="0.2">
      <c r="B3" s="147" t="s">
        <v>160</v>
      </c>
      <c r="C3" s="148" t="s">
        <v>161</v>
      </c>
      <c r="D3" s="148" t="s">
        <v>162</v>
      </c>
      <c r="E3" s="148" t="s">
        <v>97</v>
      </c>
      <c r="F3" s="148" t="s">
        <v>163</v>
      </c>
      <c r="G3" s="148" t="s">
        <v>164</v>
      </c>
      <c r="H3" s="148" t="s">
        <v>165</v>
      </c>
      <c r="I3" s="149" t="s">
        <v>17</v>
      </c>
      <c r="J3" s="148" t="s">
        <v>166</v>
      </c>
      <c r="K3" s="148" t="s">
        <v>167</v>
      </c>
    </row>
    <row r="4" spans="1:39" s="144" customFormat="1" x14ac:dyDescent="0.2">
      <c r="B4" s="62"/>
      <c r="C4" s="47">
        <v>1</v>
      </c>
      <c r="D4" s="150">
        <v>1</v>
      </c>
      <c r="E4" s="150">
        <v>1</v>
      </c>
      <c r="F4" s="150">
        <v>3</v>
      </c>
      <c r="G4" s="150">
        <v>1</v>
      </c>
      <c r="H4" s="151">
        <v>1</v>
      </c>
      <c r="I4" s="152" t="str">
        <f t="shared" ref="I4:I6" si="0">IF(D4&lt;&gt;"",D4&amp;","&amp;E4&amp;","&amp;F4&amp;","&amp;G4&amp;","&amp;H4,"0,0,0,0,0")</f>
        <v>1,1,3,1,1</v>
      </c>
      <c r="J4" s="153" t="str">
        <f>IF(MAX(D4:H4)&gt;=5, "Requirements not met", "Requirements met")</f>
        <v>Requirements met</v>
      </c>
      <c r="K4" s="154" t="str">
        <f>IF(MAX(D4:H4)&gt;=5, "Not OK", "OK")</f>
        <v>OK</v>
      </c>
    </row>
    <row r="5" spans="1:39" s="144" customFormat="1" x14ac:dyDescent="0.2">
      <c r="B5" s="62" t="s">
        <v>787</v>
      </c>
      <c r="C5" s="47">
        <v>2</v>
      </c>
      <c r="D5" s="150">
        <v>4</v>
      </c>
      <c r="E5" s="150">
        <v>3</v>
      </c>
      <c r="F5" s="150">
        <v>2</v>
      </c>
      <c r="G5" s="150">
        <v>4</v>
      </c>
      <c r="H5" s="151">
        <v>1</v>
      </c>
      <c r="I5" s="152" t="str">
        <f t="shared" si="0"/>
        <v>4,3,2,4,1</v>
      </c>
      <c r="J5" s="153" t="str">
        <f>IF(MAX(D5:H5)&gt;=5, "Requirements not met", "Requirements met")</f>
        <v>Requirements met</v>
      </c>
      <c r="K5" s="154" t="str">
        <f>IF(MAX(D5:H5)&gt;=5, "Not OK", "OK")</f>
        <v>OK</v>
      </c>
    </row>
    <row r="6" spans="1:39" s="144" customFormat="1" x14ac:dyDescent="0.2">
      <c r="B6" s="62"/>
      <c r="C6" s="47"/>
      <c r="D6" s="150"/>
      <c r="E6" s="150"/>
      <c r="F6" s="150"/>
      <c r="G6" s="150"/>
      <c r="H6" s="151"/>
      <c r="I6" s="152" t="str">
        <f t="shared" si="0"/>
        <v>0,0,0,0,0</v>
      </c>
      <c r="J6" s="153" t="str">
        <f>IF(MAX(D6:H6)&gt;=5, "Requirements not met", "Requirements met")</f>
        <v>Requirements met</v>
      </c>
      <c r="K6" s="154" t="str">
        <f>IF(MAX(D6:H6)&gt;=5, "Not OK", "OK")</f>
        <v>OK</v>
      </c>
    </row>
    <row r="7" spans="1:39" s="144" customFormat="1" x14ac:dyDescent="0.2">
      <c r="B7" s="64"/>
      <c r="C7" s="155"/>
      <c r="D7" s="150"/>
      <c r="E7" s="150"/>
      <c r="F7" s="150"/>
      <c r="G7" s="150"/>
      <c r="H7" s="151"/>
      <c r="I7" s="152" t="str">
        <f>IF(D7&lt;&gt;"",D7&amp;","&amp;E7&amp;","&amp;F7&amp;","&amp;G7&amp;","&amp;H7,"0,0,0,0,0")</f>
        <v>0,0,0,0,0</v>
      </c>
      <c r="J7" s="153" t="str">
        <f>IF(MAX(D7:H7)&gt;=5, "Requirements not met", "Requirements met")</f>
        <v>Requirements met</v>
      </c>
      <c r="K7" s="154" t="str">
        <f>IF(MAX(D7:H7)&gt;=5, "Not OK", "OK")</f>
        <v>OK</v>
      </c>
    </row>
    <row r="8" spans="1:39" s="144" customFormat="1" ht="12.75" customHeight="1" x14ac:dyDescent="0.2">
      <c r="B8" s="156" t="s">
        <v>72</v>
      </c>
      <c r="C8" s="157"/>
      <c r="D8" s="157"/>
      <c r="E8" s="157"/>
      <c r="F8" s="157"/>
      <c r="G8" s="157"/>
      <c r="H8" s="157"/>
      <c r="I8" s="158" t="str">
        <f>MAX(D4:D7)&amp;","&amp;MAX(E4:E7)&amp;","&amp;MAX(F4:F7)&amp;","&amp;MAX(G4:G7)&amp;","&amp;MAX(H4:H7)</f>
        <v>4,3,3,4,1</v>
      </c>
      <c r="J8" s="439"/>
      <c r="K8" s="439"/>
    </row>
    <row r="9" spans="1:39" ht="20.25" x14ac:dyDescent="0.3">
      <c r="B9" s="11"/>
      <c r="C9" s="11"/>
      <c r="D9" s="11"/>
      <c r="E9" s="11"/>
      <c r="F9" s="11"/>
      <c r="G9" s="11"/>
      <c r="H9" s="11"/>
      <c r="I9" s="79"/>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45" t="s">
        <v>168</v>
      </c>
      <c r="C10" s="11"/>
      <c r="D10" s="11"/>
      <c r="E10" s="11"/>
      <c r="F10" s="11"/>
      <c r="G10" s="11"/>
      <c r="H10" s="79"/>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160" customFormat="1" ht="13.5" thickBot="1" x14ac:dyDescent="0.25">
      <c r="A11" s="159" t="s">
        <v>169</v>
      </c>
    </row>
    <row r="12" spans="1:39" ht="17.25" customHeight="1" thickBot="1" x14ac:dyDescent="0.25">
      <c r="B12" s="440" t="s">
        <v>170</v>
      </c>
      <c r="C12" s="442" t="s">
        <v>171</v>
      </c>
      <c r="D12" s="443"/>
      <c r="E12" s="443"/>
      <c r="F12" s="443"/>
      <c r="G12" s="444"/>
    </row>
    <row r="13" spans="1:39" ht="13.5" thickBot="1" x14ac:dyDescent="0.25">
      <c r="B13" s="441"/>
      <c r="C13" s="161">
        <v>1</v>
      </c>
      <c r="D13" s="161">
        <v>2</v>
      </c>
      <c r="E13" s="161">
        <v>3</v>
      </c>
      <c r="F13" s="161">
        <v>4</v>
      </c>
      <c r="G13" s="161">
        <v>5</v>
      </c>
    </row>
    <row r="14" spans="1:39" ht="72.75" thickBot="1" x14ac:dyDescent="0.25">
      <c r="B14" s="445" t="s">
        <v>172</v>
      </c>
      <c r="C14" s="162" t="s">
        <v>173</v>
      </c>
      <c r="D14" s="162" t="s">
        <v>174</v>
      </c>
      <c r="E14" s="162" t="s">
        <v>175</v>
      </c>
      <c r="F14" s="162" t="s">
        <v>176</v>
      </c>
      <c r="G14" s="162" t="s">
        <v>177</v>
      </c>
    </row>
    <row r="15" spans="1:39" ht="24" customHeight="1" thickBot="1" x14ac:dyDescent="0.25">
      <c r="B15" s="446"/>
      <c r="C15" s="448" t="s">
        <v>178</v>
      </c>
      <c r="D15" s="449"/>
      <c r="E15" s="448" t="s">
        <v>179</v>
      </c>
      <c r="F15" s="450"/>
      <c r="G15" s="449"/>
    </row>
    <row r="16" spans="1:39" ht="36.75" thickBot="1" x14ac:dyDescent="0.25">
      <c r="B16" s="447"/>
      <c r="C16" s="163" t="s">
        <v>180</v>
      </c>
      <c r="D16" s="451" t="s">
        <v>181</v>
      </c>
      <c r="E16" s="452"/>
      <c r="F16" s="453" t="s">
        <v>182</v>
      </c>
      <c r="G16" s="454"/>
    </row>
    <row r="17" spans="1:18" ht="60.75" thickBot="1" x14ac:dyDescent="0.25">
      <c r="B17" s="164" t="s">
        <v>97</v>
      </c>
      <c r="C17" s="162" t="s">
        <v>183</v>
      </c>
      <c r="D17" s="162" t="s">
        <v>184</v>
      </c>
      <c r="E17" s="162" t="s">
        <v>185</v>
      </c>
      <c r="F17" s="162" t="s">
        <v>186</v>
      </c>
      <c r="G17" s="162" t="s">
        <v>187</v>
      </c>
    </row>
    <row r="18" spans="1:18" ht="44.25" customHeight="1" thickBot="1" x14ac:dyDescent="0.25">
      <c r="B18" s="164" t="s">
        <v>163</v>
      </c>
      <c r="C18" s="162" t="s">
        <v>188</v>
      </c>
      <c r="D18" s="162" t="s">
        <v>189</v>
      </c>
      <c r="E18" s="162" t="s">
        <v>190</v>
      </c>
      <c r="F18" s="162" t="s">
        <v>191</v>
      </c>
      <c r="G18" s="162" t="s">
        <v>192</v>
      </c>
    </row>
    <row r="19" spans="1:18" ht="44.25" customHeight="1" thickBot="1" x14ac:dyDescent="0.25">
      <c r="B19" s="164" t="s">
        <v>164</v>
      </c>
      <c r="C19" s="162" t="s">
        <v>193</v>
      </c>
      <c r="D19" s="162" t="s">
        <v>194</v>
      </c>
      <c r="E19" s="162" t="s">
        <v>195</v>
      </c>
      <c r="F19" s="162" t="s">
        <v>196</v>
      </c>
      <c r="G19" s="162" t="s">
        <v>197</v>
      </c>
    </row>
    <row r="20" spans="1:18" ht="44.25" customHeight="1" thickBot="1" x14ac:dyDescent="0.25">
      <c r="B20" s="164" t="s">
        <v>198</v>
      </c>
      <c r="C20" s="162" t="s">
        <v>199</v>
      </c>
      <c r="D20" s="448" t="s">
        <v>200</v>
      </c>
      <c r="E20" s="449"/>
      <c r="F20" s="162" t="s">
        <v>201</v>
      </c>
      <c r="G20" s="162" t="s">
        <v>202</v>
      </c>
    </row>
    <row r="21" spans="1:18" x14ac:dyDescent="0.2">
      <c r="B21" s="165"/>
      <c r="C21" s="166"/>
      <c r="D21" s="166"/>
      <c r="E21" s="166"/>
      <c r="F21" s="166"/>
      <c r="G21" s="166"/>
    </row>
    <row r="22" spans="1:18" customFormat="1" ht="15" x14ac:dyDescent="0.25">
      <c r="A22" s="167" t="s">
        <v>203</v>
      </c>
      <c r="C22" s="168"/>
      <c r="D22" s="168"/>
      <c r="E22" s="168"/>
      <c r="F22" s="168"/>
      <c r="G22" s="168"/>
      <c r="H22" s="168"/>
      <c r="I22" s="168"/>
      <c r="J22" s="168"/>
      <c r="K22" s="168"/>
      <c r="L22" s="168"/>
      <c r="M22" s="168"/>
      <c r="N22" s="168"/>
      <c r="O22" s="168"/>
      <c r="P22" s="168"/>
      <c r="Q22" s="168"/>
      <c r="R22" s="168"/>
    </row>
    <row r="23" spans="1:18" customFormat="1" ht="15" x14ac:dyDescent="0.25">
      <c r="B23" s="169" t="s">
        <v>204</v>
      </c>
      <c r="C23" s="170"/>
      <c r="D23" s="170"/>
      <c r="E23" s="170"/>
      <c r="F23" s="170"/>
      <c r="G23" s="170"/>
      <c r="H23" s="171"/>
      <c r="I23" s="168"/>
      <c r="J23" s="168"/>
      <c r="K23" s="168"/>
      <c r="L23" s="168"/>
      <c r="M23" s="168"/>
      <c r="N23" s="168"/>
      <c r="O23" s="168"/>
      <c r="P23" s="168"/>
      <c r="Q23" s="168"/>
      <c r="R23" s="168"/>
    </row>
    <row r="24" spans="1:18" customFormat="1" ht="65.25" customHeight="1" x14ac:dyDescent="0.25">
      <c r="B24" s="172"/>
      <c r="C24" s="436" t="s">
        <v>205</v>
      </c>
      <c r="D24" s="437"/>
      <c r="E24" s="437"/>
      <c r="F24" s="437"/>
      <c r="G24" s="437"/>
      <c r="H24" s="438"/>
      <c r="N24" s="173"/>
      <c r="O24" s="173"/>
      <c r="P24" s="173"/>
      <c r="Q24" s="173"/>
      <c r="R24" s="173"/>
    </row>
    <row r="25" spans="1:18" customFormat="1" ht="15" x14ac:dyDescent="0.25">
      <c r="B25" s="172"/>
      <c r="C25" s="174" t="s">
        <v>206</v>
      </c>
      <c r="D25" s="175"/>
      <c r="E25" s="175"/>
      <c r="F25" s="175"/>
      <c r="G25" s="175"/>
      <c r="H25" s="176"/>
      <c r="I25" s="168"/>
      <c r="J25" s="168"/>
      <c r="K25" s="168"/>
      <c r="L25" s="168"/>
      <c r="M25" s="168"/>
      <c r="N25" s="168"/>
      <c r="O25" s="168"/>
      <c r="P25" s="168"/>
      <c r="Q25" s="168"/>
      <c r="R25" s="168"/>
    </row>
    <row r="26" spans="1:18" customFormat="1" ht="15" x14ac:dyDescent="0.25">
      <c r="B26" s="172"/>
      <c r="C26" s="177" t="s">
        <v>207</v>
      </c>
      <c r="D26" s="178"/>
      <c r="E26" s="178"/>
      <c r="F26" s="178"/>
      <c r="G26" s="178"/>
      <c r="H26" s="179"/>
      <c r="I26" s="168"/>
      <c r="J26" s="168"/>
      <c r="K26" s="168"/>
      <c r="L26" s="168"/>
      <c r="M26" s="168"/>
      <c r="N26" s="168"/>
      <c r="O26" s="168"/>
      <c r="P26" s="168"/>
      <c r="Q26" s="168"/>
      <c r="R26" s="168"/>
    </row>
    <row r="27" spans="1:18" customFormat="1" ht="15" x14ac:dyDescent="0.25">
      <c r="B27" s="172"/>
      <c r="C27" s="177" t="s">
        <v>208</v>
      </c>
      <c r="D27" s="178"/>
      <c r="E27" s="178"/>
      <c r="F27" s="178"/>
      <c r="G27" s="178"/>
      <c r="H27" s="179"/>
      <c r="I27" s="168"/>
      <c r="J27" s="168"/>
      <c r="K27" s="168"/>
      <c r="L27" s="168"/>
      <c r="M27" s="168"/>
      <c r="N27" s="168"/>
      <c r="O27" s="168"/>
      <c r="P27" s="168"/>
      <c r="Q27" s="168"/>
      <c r="R27" s="168"/>
    </row>
    <row r="28" spans="1:18" customFormat="1" ht="15" x14ac:dyDescent="0.25">
      <c r="B28" s="172"/>
      <c r="C28" s="177" t="s">
        <v>209</v>
      </c>
      <c r="D28" s="178"/>
      <c r="E28" s="178"/>
      <c r="F28" s="178"/>
      <c r="G28" s="178"/>
      <c r="H28" s="179"/>
      <c r="I28" s="168"/>
      <c r="J28" s="168"/>
      <c r="K28" s="168"/>
      <c r="L28" s="168"/>
      <c r="M28" s="168"/>
      <c r="N28" s="168"/>
      <c r="O28" s="168"/>
      <c r="P28" s="168"/>
      <c r="Q28" s="168"/>
      <c r="R28" s="168"/>
    </row>
    <row r="29" spans="1:18" customFormat="1" ht="15" x14ac:dyDescent="0.25">
      <c r="B29" s="172"/>
      <c r="C29" s="177" t="s">
        <v>210</v>
      </c>
      <c r="D29" s="178"/>
      <c r="E29" s="178"/>
      <c r="F29" s="178"/>
      <c r="G29" s="178"/>
      <c r="H29" s="179"/>
      <c r="I29" s="168"/>
      <c r="J29" s="168"/>
      <c r="K29" s="168"/>
      <c r="L29" s="168"/>
      <c r="M29" s="168"/>
      <c r="N29" s="168"/>
      <c r="O29" s="168"/>
      <c r="P29" s="168"/>
      <c r="Q29" s="168"/>
      <c r="R29" s="168"/>
    </row>
    <row r="30" spans="1:18" customFormat="1" ht="41.25" customHeight="1" x14ac:dyDescent="0.25">
      <c r="B30" s="172"/>
      <c r="C30" s="455" t="s">
        <v>211</v>
      </c>
      <c r="D30" s="456"/>
      <c r="E30" s="456"/>
      <c r="F30" s="456"/>
      <c r="G30" s="456"/>
      <c r="H30" s="457"/>
      <c r="N30" s="180"/>
      <c r="O30" s="180"/>
      <c r="P30" s="180"/>
      <c r="Q30" s="168"/>
      <c r="R30" s="168"/>
    </row>
    <row r="31" spans="1:18" customFormat="1" ht="38.25" customHeight="1" x14ac:dyDescent="0.25">
      <c r="B31" s="181"/>
      <c r="C31" s="436" t="s">
        <v>212</v>
      </c>
      <c r="D31" s="437"/>
      <c r="E31" s="437"/>
      <c r="F31" s="437"/>
      <c r="G31" s="437"/>
      <c r="H31" s="438"/>
      <c r="N31" s="173"/>
      <c r="O31" s="173"/>
      <c r="P31" s="173"/>
      <c r="Q31" s="173"/>
      <c r="R31" s="168"/>
    </row>
    <row r="32" spans="1:18" customFormat="1" ht="43.5" customHeight="1" x14ac:dyDescent="0.25">
      <c r="B32" s="436" t="s">
        <v>213</v>
      </c>
      <c r="C32" s="437"/>
      <c r="D32" s="437"/>
      <c r="E32" s="437"/>
      <c r="F32" s="437"/>
      <c r="G32" s="437"/>
      <c r="H32" s="438"/>
      <c r="I32" s="168"/>
      <c r="J32" s="168"/>
      <c r="K32" s="168"/>
      <c r="L32" s="168"/>
      <c r="M32" s="168"/>
      <c r="N32" s="168"/>
      <c r="O32" s="168"/>
      <c r="P32" s="168"/>
      <c r="Q32" s="168"/>
      <c r="R32" s="168"/>
    </row>
    <row r="33" spans="1:9" customFormat="1" ht="49.5" customHeight="1" x14ac:dyDescent="0.25">
      <c r="B33" s="436" t="s">
        <v>214</v>
      </c>
      <c r="C33" s="437"/>
      <c r="D33" s="437"/>
      <c r="E33" s="437"/>
      <c r="F33" s="437"/>
      <c r="G33" s="437"/>
      <c r="H33" s="438"/>
      <c r="I33" s="182"/>
    </row>
    <row r="34" spans="1:9" customFormat="1" ht="46.5" customHeight="1" x14ac:dyDescent="0.25">
      <c r="B34" s="436" t="s">
        <v>215</v>
      </c>
      <c r="C34" s="437"/>
      <c r="D34" s="437"/>
      <c r="E34" s="437"/>
      <c r="F34" s="437"/>
      <c r="G34" s="437"/>
      <c r="H34" s="438"/>
      <c r="I34" s="182"/>
    </row>
    <row r="35" spans="1:9" customFormat="1" ht="30" customHeight="1" x14ac:dyDescent="0.25">
      <c r="B35" s="436" t="s">
        <v>216</v>
      </c>
      <c r="C35" s="437"/>
      <c r="D35" s="437"/>
      <c r="E35" s="437"/>
      <c r="F35" s="437"/>
      <c r="G35" s="437"/>
      <c r="H35" s="438"/>
      <c r="I35" s="182"/>
    </row>
    <row r="36" spans="1:9" customFormat="1" ht="15" customHeight="1" x14ac:dyDescent="0.25">
      <c r="A36" s="183" t="s">
        <v>217</v>
      </c>
      <c r="B36" s="183"/>
      <c r="I36" s="184"/>
    </row>
    <row r="37" spans="1:9" customFormat="1" ht="30" customHeight="1" x14ac:dyDescent="0.25">
      <c r="B37" s="459" t="s">
        <v>218</v>
      </c>
      <c r="C37" s="460"/>
      <c r="D37" s="460"/>
      <c r="E37" s="460"/>
      <c r="F37" s="460"/>
      <c r="G37" s="460"/>
      <c r="H37" s="461"/>
    </row>
    <row r="38" spans="1:9" customFormat="1" ht="12.75" customHeight="1" x14ac:dyDescent="0.25">
      <c r="B38" s="462" t="s">
        <v>219</v>
      </c>
      <c r="C38" s="463"/>
      <c r="D38" s="463"/>
      <c r="E38" s="463"/>
      <c r="F38" s="463"/>
      <c r="G38" s="185"/>
      <c r="H38" s="186"/>
    </row>
    <row r="39" spans="1:9" customFormat="1" ht="29.25" customHeight="1" x14ac:dyDescent="0.25">
      <c r="B39" s="464" t="s">
        <v>220</v>
      </c>
      <c r="C39" s="465"/>
      <c r="D39" s="465"/>
      <c r="E39" s="465"/>
      <c r="F39" s="465"/>
      <c r="G39" s="465"/>
      <c r="H39" s="466"/>
    </row>
    <row r="40" spans="1:9" customFormat="1" ht="15" customHeight="1" x14ac:dyDescent="0.25">
      <c r="B40" s="187" t="s">
        <v>221</v>
      </c>
      <c r="C40" s="185"/>
      <c r="D40" s="185"/>
      <c r="E40" s="185"/>
      <c r="F40" s="185"/>
      <c r="G40" s="185"/>
      <c r="H40" s="186"/>
    </row>
    <row r="41" spans="1:9" customFormat="1" ht="30.75" customHeight="1" x14ac:dyDescent="0.25">
      <c r="B41" s="464" t="s">
        <v>222</v>
      </c>
      <c r="C41" s="465"/>
      <c r="D41" s="465"/>
      <c r="E41" s="465"/>
      <c r="F41" s="465"/>
      <c r="G41" s="465"/>
      <c r="H41" s="466"/>
    </row>
    <row r="42" spans="1:9" customFormat="1" ht="12.75" customHeight="1" x14ac:dyDescent="0.25">
      <c r="B42" s="467" t="s">
        <v>223</v>
      </c>
      <c r="C42" s="468"/>
      <c r="D42" s="468"/>
      <c r="E42" s="468"/>
      <c r="F42" s="468"/>
      <c r="G42" s="468"/>
      <c r="H42" s="186"/>
    </row>
    <row r="43" spans="1:9" customFormat="1" ht="35.25" customHeight="1" x14ac:dyDescent="0.25">
      <c r="B43" s="464" t="s">
        <v>224</v>
      </c>
      <c r="C43" s="465"/>
      <c r="D43" s="465"/>
      <c r="E43" s="465"/>
      <c r="F43" s="465"/>
      <c r="G43" s="465"/>
      <c r="H43" s="466"/>
    </row>
    <row r="44" spans="1:9" customFormat="1" ht="24.75" customHeight="1" x14ac:dyDescent="0.25">
      <c r="B44" s="469" t="s">
        <v>225</v>
      </c>
      <c r="C44" s="470"/>
      <c r="D44" s="470"/>
      <c r="E44" s="470"/>
      <c r="F44" s="470"/>
      <c r="G44" s="470"/>
      <c r="H44" s="471"/>
    </row>
    <row r="45" spans="1:9" customFormat="1" ht="27.75" customHeight="1" x14ac:dyDescent="0.25">
      <c r="B45" s="455" t="s">
        <v>226</v>
      </c>
      <c r="C45" s="456"/>
      <c r="D45" s="456"/>
      <c r="E45" s="456"/>
      <c r="F45" s="456"/>
      <c r="G45" s="456"/>
      <c r="H45" s="457"/>
    </row>
    <row r="46" spans="1:9" customFormat="1" ht="21" customHeight="1" x14ac:dyDescent="0.25">
      <c r="B46" s="436" t="s">
        <v>227</v>
      </c>
      <c r="C46" s="437"/>
      <c r="D46" s="437"/>
      <c r="E46" s="437"/>
      <c r="F46" s="437"/>
      <c r="G46" s="437"/>
      <c r="H46" s="438"/>
    </row>
    <row r="47" spans="1:9" customFormat="1" ht="26.25" customHeight="1" x14ac:dyDescent="0.25">
      <c r="B47" s="458" t="s">
        <v>228</v>
      </c>
      <c r="C47" s="458"/>
      <c r="D47" s="458"/>
      <c r="E47" s="458"/>
      <c r="F47" s="458"/>
      <c r="G47" s="458"/>
      <c r="H47" s="458"/>
    </row>
  </sheetData>
  <mergeCells count="27">
    <mergeCell ref="B47:H47"/>
    <mergeCell ref="B34:H34"/>
    <mergeCell ref="B35:H35"/>
    <mergeCell ref="B37:H37"/>
    <mergeCell ref="B38:F38"/>
    <mergeCell ref="B39:H39"/>
    <mergeCell ref="B41:H41"/>
    <mergeCell ref="B42:G42"/>
    <mergeCell ref="B43:H43"/>
    <mergeCell ref="B44:H44"/>
    <mergeCell ref="B45:H45"/>
    <mergeCell ref="B46:H46"/>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3"/>
  <sheetViews>
    <sheetView workbookViewId="0">
      <selection activeCell="L1" sqref="L1"/>
    </sheetView>
  </sheetViews>
  <sheetFormatPr defaultRowHeight="15" x14ac:dyDescent="0.25"/>
  <cols>
    <col min="1" max="1" width="32.140625" bestFit="1" customWidth="1"/>
  </cols>
  <sheetData>
    <row r="1" spans="1:13" ht="45" x14ac:dyDescent="0.25">
      <c r="B1" s="232" t="s">
        <v>336</v>
      </c>
      <c r="C1" s="232" t="s">
        <v>337</v>
      </c>
      <c r="D1" s="232" t="s">
        <v>338</v>
      </c>
      <c r="E1" s="232" t="s">
        <v>403</v>
      </c>
      <c r="F1" s="232" t="s">
        <v>404</v>
      </c>
      <c r="G1" s="232" t="s">
        <v>405</v>
      </c>
      <c r="H1" s="232" t="s">
        <v>406</v>
      </c>
      <c r="I1" s="232" t="s">
        <v>407</v>
      </c>
      <c r="J1" s="232" t="s">
        <v>408</v>
      </c>
      <c r="K1" s="232" t="s">
        <v>409</v>
      </c>
      <c r="L1" s="232" t="s">
        <v>724</v>
      </c>
      <c r="M1" s="232" t="s">
        <v>738</v>
      </c>
    </row>
    <row r="2" spans="1:13" x14ac:dyDescent="0.25">
      <c r="B2" s="472" t="s">
        <v>399</v>
      </c>
      <c r="C2" s="472"/>
      <c r="D2" s="472"/>
      <c r="L2" t="s">
        <v>740</v>
      </c>
    </row>
    <row r="3" spans="1:13" x14ac:dyDescent="0.25">
      <c r="A3" t="s">
        <v>739</v>
      </c>
      <c r="B3" s="239">
        <v>1</v>
      </c>
      <c r="C3" s="239">
        <v>1</v>
      </c>
      <c r="D3" s="239">
        <v>1</v>
      </c>
      <c r="E3" s="239">
        <v>2</v>
      </c>
      <c r="F3" s="239">
        <v>2</v>
      </c>
      <c r="G3" s="239">
        <v>2</v>
      </c>
      <c r="H3" s="239">
        <v>2</v>
      </c>
      <c r="I3" s="239">
        <v>2</v>
      </c>
      <c r="J3" s="239">
        <v>2</v>
      </c>
      <c r="K3" s="239">
        <v>2</v>
      </c>
      <c r="L3" s="239">
        <v>3</v>
      </c>
    </row>
    <row r="4" spans="1:13" x14ac:dyDescent="0.25">
      <c r="A4" t="s">
        <v>329</v>
      </c>
      <c r="B4">
        <v>50</v>
      </c>
      <c r="C4">
        <v>70</v>
      </c>
      <c r="D4" t="s">
        <v>335</v>
      </c>
      <c r="E4">
        <v>35</v>
      </c>
      <c r="F4">
        <v>25</v>
      </c>
      <c r="G4">
        <v>20</v>
      </c>
      <c r="H4">
        <v>20</v>
      </c>
      <c r="I4">
        <v>20</v>
      </c>
      <c r="J4">
        <v>20</v>
      </c>
      <c r="K4">
        <v>20</v>
      </c>
      <c r="L4" t="s">
        <v>335</v>
      </c>
    </row>
    <row r="5" spans="1:13" x14ac:dyDescent="0.25">
      <c r="A5" t="s">
        <v>330</v>
      </c>
      <c r="B5">
        <v>2290</v>
      </c>
      <c r="C5">
        <v>2380</v>
      </c>
      <c r="D5">
        <v>2320</v>
      </c>
      <c r="E5">
        <v>2370</v>
      </c>
      <c r="F5">
        <v>2380</v>
      </c>
      <c r="G5">
        <v>2320</v>
      </c>
      <c r="H5">
        <v>2320</v>
      </c>
      <c r="I5">
        <v>2320</v>
      </c>
      <c r="J5">
        <v>2320</v>
      </c>
      <c r="K5">
        <v>2320</v>
      </c>
      <c r="L5">
        <v>1822</v>
      </c>
    </row>
    <row r="6" spans="1:13" x14ac:dyDescent="0.25">
      <c r="A6" t="s">
        <v>331</v>
      </c>
      <c r="B6">
        <v>504</v>
      </c>
      <c r="C6">
        <v>445</v>
      </c>
      <c r="D6">
        <v>386</v>
      </c>
      <c r="E6">
        <v>335</v>
      </c>
      <c r="F6">
        <v>279</v>
      </c>
      <c r="G6">
        <v>223</v>
      </c>
      <c r="H6">
        <v>179</v>
      </c>
      <c r="I6">
        <v>167</v>
      </c>
      <c r="J6">
        <v>145</v>
      </c>
      <c r="K6">
        <v>112</v>
      </c>
      <c r="L6">
        <v>159</v>
      </c>
    </row>
    <row r="7" spans="1:13" x14ac:dyDescent="0.25">
      <c r="A7" t="s">
        <v>414</v>
      </c>
      <c r="B7">
        <v>0</v>
      </c>
      <c r="C7">
        <v>56</v>
      </c>
      <c r="D7">
        <v>0</v>
      </c>
      <c r="E7">
        <v>0</v>
      </c>
      <c r="F7">
        <v>0</v>
      </c>
      <c r="G7">
        <v>0</v>
      </c>
      <c r="H7">
        <v>0</v>
      </c>
      <c r="I7">
        <v>0</v>
      </c>
      <c r="J7">
        <v>0</v>
      </c>
      <c r="K7">
        <v>0</v>
      </c>
      <c r="L7">
        <v>0</v>
      </c>
    </row>
    <row r="8" spans="1:13" x14ac:dyDescent="0.25">
      <c r="A8" t="s">
        <v>411</v>
      </c>
      <c r="B8">
        <v>0</v>
      </c>
      <c r="C8">
        <v>0</v>
      </c>
      <c r="D8">
        <v>0</v>
      </c>
      <c r="E8">
        <v>0</v>
      </c>
      <c r="F8">
        <v>0</v>
      </c>
      <c r="G8">
        <v>0</v>
      </c>
      <c r="H8">
        <v>44</v>
      </c>
      <c r="I8">
        <v>56</v>
      </c>
      <c r="J8">
        <v>0</v>
      </c>
      <c r="K8">
        <v>0</v>
      </c>
      <c r="L8">
        <v>0</v>
      </c>
    </row>
    <row r="9" spans="1:13" x14ac:dyDescent="0.25">
      <c r="A9" t="s">
        <v>412</v>
      </c>
      <c r="B9">
        <v>0</v>
      </c>
      <c r="C9">
        <v>0</v>
      </c>
      <c r="D9">
        <v>0</v>
      </c>
      <c r="E9">
        <v>0</v>
      </c>
      <c r="F9">
        <v>0</v>
      </c>
      <c r="G9">
        <v>0</v>
      </c>
      <c r="H9">
        <v>0</v>
      </c>
      <c r="I9">
        <v>0</v>
      </c>
      <c r="J9">
        <v>78</v>
      </c>
      <c r="K9">
        <v>112</v>
      </c>
      <c r="L9">
        <v>0</v>
      </c>
    </row>
    <row r="10" spans="1:13" x14ac:dyDescent="0.25">
      <c r="A10" t="s">
        <v>332</v>
      </c>
      <c r="B10">
        <v>178</v>
      </c>
      <c r="C10">
        <v>136</v>
      </c>
      <c r="D10">
        <v>154</v>
      </c>
      <c r="E10">
        <v>141</v>
      </c>
      <c r="F10">
        <v>141</v>
      </c>
      <c r="G10">
        <v>141</v>
      </c>
      <c r="H10">
        <v>141</v>
      </c>
      <c r="I10">
        <v>141</v>
      </c>
      <c r="J10">
        <v>141</v>
      </c>
      <c r="K10">
        <v>141</v>
      </c>
      <c r="L10">
        <v>109</v>
      </c>
    </row>
    <row r="11" spans="1:13" x14ac:dyDescent="0.25">
      <c r="A11" t="s">
        <v>333</v>
      </c>
      <c r="B11">
        <v>1050</v>
      </c>
      <c r="C11">
        <v>1112</v>
      </c>
      <c r="D11">
        <v>1068</v>
      </c>
      <c r="E11">
        <v>1187</v>
      </c>
      <c r="F11">
        <v>1187</v>
      </c>
      <c r="G11">
        <v>1127</v>
      </c>
      <c r="H11">
        <v>1127</v>
      </c>
      <c r="I11">
        <v>1127</v>
      </c>
      <c r="J11">
        <v>1127</v>
      </c>
      <c r="K11">
        <v>1127</v>
      </c>
      <c r="L11">
        <v>1081</v>
      </c>
    </row>
    <row r="12" spans="1:13" x14ac:dyDescent="0.25">
      <c r="A12" t="s">
        <v>334</v>
      </c>
      <c r="B12">
        <v>555</v>
      </c>
      <c r="C12">
        <v>611</v>
      </c>
      <c r="D12">
        <v>742</v>
      </c>
      <c r="E12">
        <v>712</v>
      </c>
      <c r="F12">
        <v>771</v>
      </c>
      <c r="G12">
        <v>831</v>
      </c>
      <c r="H12">
        <v>831</v>
      </c>
      <c r="I12">
        <v>831</v>
      </c>
      <c r="J12">
        <v>831</v>
      </c>
      <c r="K12">
        <v>831</v>
      </c>
      <c r="L12">
        <v>473</v>
      </c>
    </row>
    <row r="13" spans="1:13" x14ac:dyDescent="0.25">
      <c r="A13" t="s">
        <v>413</v>
      </c>
      <c r="B13">
        <v>0</v>
      </c>
      <c r="C13">
        <v>0</v>
      </c>
      <c r="D13">
        <v>0</v>
      </c>
      <c r="E13">
        <v>0</v>
      </c>
      <c r="F13">
        <v>0</v>
      </c>
      <c r="G13">
        <v>0</v>
      </c>
      <c r="H13">
        <v>0</v>
      </c>
      <c r="I13">
        <v>0</v>
      </c>
      <c r="J13">
        <v>0</v>
      </c>
      <c r="K13">
        <v>0</v>
      </c>
      <c r="L13">
        <v>0</v>
      </c>
    </row>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80"/>
  <sheetViews>
    <sheetView zoomScaleNormal="100" workbookViewId="0">
      <pane xSplit="1" topLeftCell="B1" activePane="topRight" state="frozen"/>
      <selection pane="topRight" activeCell="V37" sqref="V37"/>
    </sheetView>
  </sheetViews>
  <sheetFormatPr defaultRowHeight="15" x14ac:dyDescent="0.25"/>
  <cols>
    <col min="1" max="3" width="28.85546875" customWidth="1"/>
    <col min="8" max="8" width="15.28515625" bestFit="1" customWidth="1"/>
    <col min="9" max="9" width="10.85546875" style="265" customWidth="1"/>
    <col min="10" max="10" width="9.140625" customWidth="1"/>
    <col min="11" max="16" width="10.28515625" customWidth="1"/>
    <col min="17" max="17" width="14.85546875" bestFit="1" customWidth="1"/>
    <col min="18" max="18" width="14.85546875" style="265" customWidth="1"/>
    <col min="19" max="19" width="10.28515625" style="275" customWidth="1"/>
    <col min="20" max="20" width="14.85546875" bestFit="1" customWidth="1"/>
    <col min="21" max="21" width="7.42578125" style="265" customWidth="1"/>
    <col min="22" max="22" width="10.28515625" customWidth="1"/>
    <col min="23" max="23" width="11" bestFit="1" customWidth="1"/>
    <col min="248" max="248" width="25.85546875" customWidth="1"/>
    <col min="249" max="250" width="11" customWidth="1"/>
    <col min="251" max="251" width="22.85546875" customWidth="1"/>
    <col min="252" max="253" width="11" customWidth="1"/>
    <col min="254" max="255" width="9.140625" customWidth="1"/>
    <col min="256" max="256" width="19" customWidth="1"/>
    <col min="504" max="504" width="25.85546875" customWidth="1"/>
    <col min="505" max="506" width="11" customWidth="1"/>
    <col min="507" max="507" width="22.85546875" customWidth="1"/>
    <col min="508" max="509" width="11" customWidth="1"/>
    <col min="510" max="511" width="9.140625" customWidth="1"/>
    <col min="512" max="512" width="19" customWidth="1"/>
    <col min="760" max="760" width="25.85546875" customWidth="1"/>
    <col min="761" max="762" width="11" customWidth="1"/>
    <col min="763" max="763" width="22.85546875" customWidth="1"/>
    <col min="764" max="765" width="11" customWidth="1"/>
    <col min="766" max="767" width="9.140625" customWidth="1"/>
    <col min="768" max="768" width="19" customWidth="1"/>
    <col min="1016" max="1016" width="25.85546875" customWidth="1"/>
    <col min="1017" max="1018" width="11" customWidth="1"/>
    <col min="1019" max="1019" width="22.85546875" customWidth="1"/>
    <col min="1020" max="1021" width="11" customWidth="1"/>
    <col min="1022" max="1023" width="9.140625" customWidth="1"/>
    <col min="1024" max="1024" width="19" customWidth="1"/>
    <col min="1272" max="1272" width="25.85546875" customWidth="1"/>
    <col min="1273" max="1274" width="11" customWidth="1"/>
    <col min="1275" max="1275" width="22.85546875" customWidth="1"/>
    <col min="1276" max="1277" width="11" customWidth="1"/>
    <col min="1278" max="1279" width="9.140625" customWidth="1"/>
    <col min="1280" max="1280" width="19" customWidth="1"/>
    <col min="1528" max="1528" width="25.85546875" customWidth="1"/>
    <col min="1529" max="1530" width="11" customWidth="1"/>
    <col min="1531" max="1531" width="22.85546875" customWidth="1"/>
    <col min="1532" max="1533" width="11" customWidth="1"/>
    <col min="1534" max="1535" width="9.140625" customWidth="1"/>
    <col min="1536" max="1536" width="19" customWidth="1"/>
    <col min="1784" max="1784" width="25.85546875" customWidth="1"/>
    <col min="1785" max="1786" width="11" customWidth="1"/>
    <col min="1787" max="1787" width="22.85546875" customWidth="1"/>
    <col min="1788" max="1789" width="11" customWidth="1"/>
    <col min="1790" max="1791" width="9.140625" customWidth="1"/>
    <col min="1792" max="1792" width="19" customWidth="1"/>
    <col min="2040" max="2040" width="25.85546875" customWidth="1"/>
    <col min="2041" max="2042" width="11" customWidth="1"/>
    <col min="2043" max="2043" width="22.85546875" customWidth="1"/>
    <col min="2044" max="2045" width="11" customWidth="1"/>
    <col min="2046" max="2047" width="9.140625" customWidth="1"/>
    <col min="2048" max="2048" width="19" customWidth="1"/>
    <col min="2296" max="2296" width="25.85546875" customWidth="1"/>
    <col min="2297" max="2298" width="11" customWidth="1"/>
    <col min="2299" max="2299" width="22.85546875" customWidth="1"/>
    <col min="2300" max="2301" width="11" customWidth="1"/>
    <col min="2302" max="2303" width="9.140625" customWidth="1"/>
    <col min="2304" max="2304" width="19" customWidth="1"/>
    <col min="2552" max="2552" width="25.85546875" customWidth="1"/>
    <col min="2553" max="2554" width="11" customWidth="1"/>
    <col min="2555" max="2555" width="22.85546875" customWidth="1"/>
    <col min="2556" max="2557" width="11" customWidth="1"/>
    <col min="2558" max="2559" width="9.140625" customWidth="1"/>
    <col min="2560" max="2560" width="19" customWidth="1"/>
    <col min="2808" max="2808" width="25.85546875" customWidth="1"/>
    <col min="2809" max="2810" width="11" customWidth="1"/>
    <col min="2811" max="2811" width="22.85546875" customWidth="1"/>
    <col min="2812" max="2813" width="11" customWidth="1"/>
    <col min="2814" max="2815" width="9.140625" customWidth="1"/>
    <col min="2816" max="2816" width="19" customWidth="1"/>
    <col min="3064" max="3064" width="25.85546875" customWidth="1"/>
    <col min="3065" max="3066" width="11" customWidth="1"/>
    <col min="3067" max="3067" width="22.85546875" customWidth="1"/>
    <col min="3068" max="3069" width="11" customWidth="1"/>
    <col min="3070" max="3071" width="9.140625" customWidth="1"/>
    <col min="3072" max="3072" width="19" customWidth="1"/>
    <col min="3320" max="3320" width="25.85546875" customWidth="1"/>
    <col min="3321" max="3322" width="11" customWidth="1"/>
    <col min="3323" max="3323" width="22.85546875" customWidth="1"/>
    <col min="3324" max="3325" width="11" customWidth="1"/>
    <col min="3326" max="3327" width="9.140625" customWidth="1"/>
    <col min="3328" max="3328" width="19" customWidth="1"/>
    <col min="3576" max="3576" width="25.85546875" customWidth="1"/>
    <col min="3577" max="3578" width="11" customWidth="1"/>
    <col min="3579" max="3579" width="22.85546875" customWidth="1"/>
    <col min="3580" max="3581" width="11" customWidth="1"/>
    <col min="3582" max="3583" width="9.140625" customWidth="1"/>
    <col min="3584" max="3584" width="19" customWidth="1"/>
    <col min="3832" max="3832" width="25.85546875" customWidth="1"/>
    <col min="3833" max="3834" width="11" customWidth="1"/>
    <col min="3835" max="3835" width="22.85546875" customWidth="1"/>
    <col min="3836" max="3837" width="11" customWidth="1"/>
    <col min="3838" max="3839" width="9.140625" customWidth="1"/>
    <col min="3840" max="3840" width="19" customWidth="1"/>
    <col min="4088" max="4088" width="25.85546875" customWidth="1"/>
    <col min="4089" max="4090" width="11" customWidth="1"/>
    <col min="4091" max="4091" width="22.85546875" customWidth="1"/>
    <col min="4092" max="4093" width="11" customWidth="1"/>
    <col min="4094" max="4095" width="9.140625" customWidth="1"/>
    <col min="4096" max="4096" width="19" customWidth="1"/>
    <col min="4344" max="4344" width="25.85546875" customWidth="1"/>
    <col min="4345" max="4346" width="11" customWidth="1"/>
    <col min="4347" max="4347" width="22.85546875" customWidth="1"/>
    <col min="4348" max="4349" width="11" customWidth="1"/>
    <col min="4350" max="4351" width="9.140625" customWidth="1"/>
    <col min="4352" max="4352" width="19" customWidth="1"/>
    <col min="4600" max="4600" width="25.85546875" customWidth="1"/>
    <col min="4601" max="4602" width="11" customWidth="1"/>
    <col min="4603" max="4603" width="22.85546875" customWidth="1"/>
    <col min="4604" max="4605" width="11" customWidth="1"/>
    <col min="4606" max="4607" width="9.140625" customWidth="1"/>
    <col min="4608" max="4608" width="19" customWidth="1"/>
    <col min="4856" max="4856" width="25.85546875" customWidth="1"/>
    <col min="4857" max="4858" width="11" customWidth="1"/>
    <col min="4859" max="4859" width="22.85546875" customWidth="1"/>
    <col min="4860" max="4861" width="11" customWidth="1"/>
    <col min="4862" max="4863" width="9.140625" customWidth="1"/>
    <col min="4864" max="4864" width="19" customWidth="1"/>
    <col min="5112" max="5112" width="25.85546875" customWidth="1"/>
    <col min="5113" max="5114" width="11" customWidth="1"/>
    <col min="5115" max="5115" width="22.85546875" customWidth="1"/>
    <col min="5116" max="5117" width="11" customWidth="1"/>
    <col min="5118" max="5119" width="9.140625" customWidth="1"/>
    <col min="5120" max="5120" width="19" customWidth="1"/>
    <col min="5368" max="5368" width="25.85546875" customWidth="1"/>
    <col min="5369" max="5370" width="11" customWidth="1"/>
    <col min="5371" max="5371" width="22.85546875" customWidth="1"/>
    <col min="5372" max="5373" width="11" customWidth="1"/>
    <col min="5374" max="5375" width="9.140625" customWidth="1"/>
    <col min="5376" max="5376" width="19" customWidth="1"/>
    <col min="5624" max="5624" width="25.85546875" customWidth="1"/>
    <col min="5625" max="5626" width="11" customWidth="1"/>
    <col min="5627" max="5627" width="22.85546875" customWidth="1"/>
    <col min="5628" max="5629" width="11" customWidth="1"/>
    <col min="5630" max="5631" width="9.140625" customWidth="1"/>
    <col min="5632" max="5632" width="19" customWidth="1"/>
    <col min="5880" max="5880" width="25.85546875" customWidth="1"/>
    <col min="5881" max="5882" width="11" customWidth="1"/>
    <col min="5883" max="5883" width="22.85546875" customWidth="1"/>
    <col min="5884" max="5885" width="11" customWidth="1"/>
    <col min="5886" max="5887" width="9.140625" customWidth="1"/>
    <col min="5888" max="5888" width="19" customWidth="1"/>
    <col min="6136" max="6136" width="25.85546875" customWidth="1"/>
    <col min="6137" max="6138" width="11" customWidth="1"/>
    <col min="6139" max="6139" width="22.85546875" customWidth="1"/>
    <col min="6140" max="6141" width="11" customWidth="1"/>
    <col min="6142" max="6143" width="9.140625" customWidth="1"/>
    <col min="6144" max="6144" width="19" customWidth="1"/>
    <col min="6392" max="6392" width="25.85546875" customWidth="1"/>
    <col min="6393" max="6394" width="11" customWidth="1"/>
    <col min="6395" max="6395" width="22.85546875" customWidth="1"/>
    <col min="6396" max="6397" width="11" customWidth="1"/>
    <col min="6398" max="6399" width="9.140625" customWidth="1"/>
    <col min="6400" max="6400" width="19" customWidth="1"/>
    <col min="6648" max="6648" width="25.85546875" customWidth="1"/>
    <col min="6649" max="6650" width="11" customWidth="1"/>
    <col min="6651" max="6651" width="22.85546875" customWidth="1"/>
    <col min="6652" max="6653" width="11" customWidth="1"/>
    <col min="6654" max="6655" width="9.140625" customWidth="1"/>
    <col min="6656" max="6656" width="19" customWidth="1"/>
    <col min="6904" max="6904" width="25.85546875" customWidth="1"/>
    <col min="6905" max="6906" width="11" customWidth="1"/>
    <col min="6907" max="6907" width="22.85546875" customWidth="1"/>
    <col min="6908" max="6909" width="11" customWidth="1"/>
    <col min="6910" max="6911" width="9.140625" customWidth="1"/>
    <col min="6912" max="6912" width="19" customWidth="1"/>
    <col min="7160" max="7160" width="25.85546875" customWidth="1"/>
    <col min="7161" max="7162" width="11" customWidth="1"/>
    <col min="7163" max="7163" width="22.85546875" customWidth="1"/>
    <col min="7164" max="7165" width="11" customWidth="1"/>
    <col min="7166" max="7167" width="9.140625" customWidth="1"/>
    <col min="7168" max="7168" width="19" customWidth="1"/>
    <col min="7416" max="7416" width="25.85546875" customWidth="1"/>
    <col min="7417" max="7418" width="11" customWidth="1"/>
    <col min="7419" max="7419" width="22.85546875" customWidth="1"/>
    <col min="7420" max="7421" width="11" customWidth="1"/>
    <col min="7422" max="7423" width="9.140625" customWidth="1"/>
    <col min="7424" max="7424" width="19" customWidth="1"/>
    <col min="7672" max="7672" width="25.85546875" customWidth="1"/>
    <col min="7673" max="7674" width="11" customWidth="1"/>
    <col min="7675" max="7675" width="22.85546875" customWidth="1"/>
    <col min="7676" max="7677" width="11" customWidth="1"/>
    <col min="7678" max="7679" width="9.140625" customWidth="1"/>
    <col min="7680" max="7680" width="19" customWidth="1"/>
    <col min="7928" max="7928" width="25.85546875" customWidth="1"/>
    <col min="7929" max="7930" width="11" customWidth="1"/>
    <col min="7931" max="7931" width="22.85546875" customWidth="1"/>
    <col min="7932" max="7933" width="11" customWidth="1"/>
    <col min="7934" max="7935" width="9.140625" customWidth="1"/>
    <col min="7936" max="7936" width="19" customWidth="1"/>
    <col min="8184" max="8184" width="25.85546875" customWidth="1"/>
    <col min="8185" max="8186" width="11" customWidth="1"/>
    <col min="8187" max="8187" width="22.85546875" customWidth="1"/>
    <col min="8188" max="8189" width="11" customWidth="1"/>
    <col min="8190" max="8191" width="9.140625" customWidth="1"/>
    <col min="8192" max="8192" width="19" customWidth="1"/>
    <col min="8440" max="8440" width="25.85546875" customWidth="1"/>
    <col min="8441" max="8442" width="11" customWidth="1"/>
    <col min="8443" max="8443" width="22.85546875" customWidth="1"/>
    <col min="8444" max="8445" width="11" customWidth="1"/>
    <col min="8446" max="8447" width="9.140625" customWidth="1"/>
    <col min="8448" max="8448" width="19" customWidth="1"/>
    <col min="8696" max="8696" width="25.85546875" customWidth="1"/>
    <col min="8697" max="8698" width="11" customWidth="1"/>
    <col min="8699" max="8699" width="22.85546875" customWidth="1"/>
    <col min="8700" max="8701" width="11" customWidth="1"/>
    <col min="8702" max="8703" width="9.140625" customWidth="1"/>
    <col min="8704" max="8704" width="19" customWidth="1"/>
    <col min="8952" max="8952" width="25.85546875" customWidth="1"/>
    <col min="8953" max="8954" width="11" customWidth="1"/>
    <col min="8955" max="8955" width="22.85546875" customWidth="1"/>
    <col min="8956" max="8957" width="11" customWidth="1"/>
    <col min="8958" max="8959" width="9.140625" customWidth="1"/>
    <col min="8960" max="8960" width="19" customWidth="1"/>
    <col min="9208" max="9208" width="25.85546875" customWidth="1"/>
    <col min="9209" max="9210" width="11" customWidth="1"/>
    <col min="9211" max="9211" width="22.85546875" customWidth="1"/>
    <col min="9212" max="9213" width="11" customWidth="1"/>
    <col min="9214" max="9215" width="9.140625" customWidth="1"/>
    <col min="9216" max="9216" width="19" customWidth="1"/>
    <col min="9464" max="9464" width="25.85546875" customWidth="1"/>
    <col min="9465" max="9466" width="11" customWidth="1"/>
    <col min="9467" max="9467" width="22.85546875" customWidth="1"/>
    <col min="9468" max="9469" width="11" customWidth="1"/>
    <col min="9470" max="9471" width="9.140625" customWidth="1"/>
    <col min="9472" max="9472" width="19" customWidth="1"/>
    <col min="9720" max="9720" width="25.85546875" customWidth="1"/>
    <col min="9721" max="9722" width="11" customWidth="1"/>
    <col min="9723" max="9723" width="22.85546875" customWidth="1"/>
    <col min="9724" max="9725" width="11" customWidth="1"/>
    <col min="9726" max="9727" width="9.140625" customWidth="1"/>
    <col min="9728" max="9728" width="19" customWidth="1"/>
    <col min="9976" max="9976" width="25.85546875" customWidth="1"/>
    <col min="9977" max="9978" width="11" customWidth="1"/>
    <col min="9979" max="9979" width="22.85546875" customWidth="1"/>
    <col min="9980" max="9981" width="11" customWidth="1"/>
    <col min="9982" max="9983" width="9.140625" customWidth="1"/>
    <col min="9984" max="9984" width="19" customWidth="1"/>
    <col min="10232" max="10232" width="25.85546875" customWidth="1"/>
    <col min="10233" max="10234" width="11" customWidth="1"/>
    <col min="10235" max="10235" width="22.85546875" customWidth="1"/>
    <col min="10236" max="10237" width="11" customWidth="1"/>
    <col min="10238" max="10239" width="9.140625" customWidth="1"/>
    <col min="10240" max="10240" width="19" customWidth="1"/>
    <col min="10488" max="10488" width="25.85546875" customWidth="1"/>
    <col min="10489" max="10490" width="11" customWidth="1"/>
    <col min="10491" max="10491" width="22.85546875" customWidth="1"/>
    <col min="10492" max="10493" width="11" customWidth="1"/>
    <col min="10494" max="10495" width="9.140625" customWidth="1"/>
    <col min="10496" max="10496" width="19" customWidth="1"/>
    <col min="10744" max="10744" width="25.85546875" customWidth="1"/>
    <col min="10745" max="10746" width="11" customWidth="1"/>
    <col min="10747" max="10747" width="22.85546875" customWidth="1"/>
    <col min="10748" max="10749" width="11" customWidth="1"/>
    <col min="10750" max="10751" width="9.140625" customWidth="1"/>
    <col min="10752" max="10752" width="19" customWidth="1"/>
    <col min="11000" max="11000" width="25.85546875" customWidth="1"/>
    <col min="11001" max="11002" width="11" customWidth="1"/>
    <col min="11003" max="11003" width="22.85546875" customWidth="1"/>
    <col min="11004" max="11005" width="11" customWidth="1"/>
    <col min="11006" max="11007" width="9.140625" customWidth="1"/>
    <col min="11008" max="11008" width="19" customWidth="1"/>
    <col min="11256" max="11256" width="25.85546875" customWidth="1"/>
    <col min="11257" max="11258" width="11" customWidth="1"/>
    <col min="11259" max="11259" width="22.85546875" customWidth="1"/>
    <col min="11260" max="11261" width="11" customWidth="1"/>
    <col min="11262" max="11263" width="9.140625" customWidth="1"/>
    <col min="11264" max="11264" width="19" customWidth="1"/>
    <col min="11512" max="11512" width="25.85546875" customWidth="1"/>
    <col min="11513" max="11514" width="11" customWidth="1"/>
    <col min="11515" max="11515" width="22.85546875" customWidth="1"/>
    <col min="11516" max="11517" width="11" customWidth="1"/>
    <col min="11518" max="11519" width="9.140625" customWidth="1"/>
    <col min="11520" max="11520" width="19" customWidth="1"/>
    <col min="11768" max="11768" width="25.85546875" customWidth="1"/>
    <col min="11769" max="11770" width="11" customWidth="1"/>
    <col min="11771" max="11771" width="22.85546875" customWidth="1"/>
    <col min="11772" max="11773" width="11" customWidth="1"/>
    <col min="11774" max="11775" width="9.140625" customWidth="1"/>
    <col min="11776" max="11776" width="19" customWidth="1"/>
    <col min="12024" max="12024" width="25.85546875" customWidth="1"/>
    <col min="12025" max="12026" width="11" customWidth="1"/>
    <col min="12027" max="12027" width="22.85546875" customWidth="1"/>
    <col min="12028" max="12029" width="11" customWidth="1"/>
    <col min="12030" max="12031" width="9.140625" customWidth="1"/>
    <col min="12032" max="12032" width="19" customWidth="1"/>
    <col min="12280" max="12280" width="25.85546875" customWidth="1"/>
    <col min="12281" max="12282" width="11" customWidth="1"/>
    <col min="12283" max="12283" width="22.85546875" customWidth="1"/>
    <col min="12284" max="12285" width="11" customWidth="1"/>
    <col min="12286" max="12287" width="9.140625" customWidth="1"/>
    <col min="12288" max="12288" width="19" customWidth="1"/>
    <col min="12536" max="12536" width="25.85546875" customWidth="1"/>
    <col min="12537" max="12538" width="11" customWidth="1"/>
    <col min="12539" max="12539" width="22.85546875" customWidth="1"/>
    <col min="12540" max="12541" width="11" customWidth="1"/>
    <col min="12542" max="12543" width="9.140625" customWidth="1"/>
    <col min="12544" max="12544" width="19" customWidth="1"/>
    <col min="12792" max="12792" width="25.85546875" customWidth="1"/>
    <col min="12793" max="12794" width="11" customWidth="1"/>
    <col min="12795" max="12795" width="22.85546875" customWidth="1"/>
    <col min="12796" max="12797" width="11" customWidth="1"/>
    <col min="12798" max="12799" width="9.140625" customWidth="1"/>
    <col min="12800" max="12800" width="19" customWidth="1"/>
    <col min="13048" max="13048" width="25.85546875" customWidth="1"/>
    <col min="13049" max="13050" width="11" customWidth="1"/>
    <col min="13051" max="13051" width="22.85546875" customWidth="1"/>
    <col min="13052" max="13053" width="11" customWidth="1"/>
    <col min="13054" max="13055" width="9.140625" customWidth="1"/>
    <col min="13056" max="13056" width="19" customWidth="1"/>
    <col min="13304" max="13304" width="25.85546875" customWidth="1"/>
    <col min="13305" max="13306" width="11" customWidth="1"/>
    <col min="13307" max="13307" width="22.85546875" customWidth="1"/>
    <col min="13308" max="13309" width="11" customWidth="1"/>
    <col min="13310" max="13311" width="9.140625" customWidth="1"/>
    <col min="13312" max="13312" width="19" customWidth="1"/>
    <col min="13560" max="13560" width="25.85546875" customWidth="1"/>
    <col min="13561" max="13562" width="11" customWidth="1"/>
    <col min="13563" max="13563" width="22.85546875" customWidth="1"/>
    <col min="13564" max="13565" width="11" customWidth="1"/>
    <col min="13566" max="13567" width="9.140625" customWidth="1"/>
    <col min="13568" max="13568" width="19" customWidth="1"/>
    <col min="13816" max="13816" width="25.85546875" customWidth="1"/>
    <col min="13817" max="13818" width="11" customWidth="1"/>
    <col min="13819" max="13819" width="22.85546875" customWidth="1"/>
    <col min="13820" max="13821" width="11" customWidth="1"/>
    <col min="13822" max="13823" width="9.140625" customWidth="1"/>
    <col min="13824" max="13824" width="19" customWidth="1"/>
    <col min="14072" max="14072" width="25.85546875" customWidth="1"/>
    <col min="14073" max="14074" width="11" customWidth="1"/>
    <col min="14075" max="14075" width="22.85546875" customWidth="1"/>
    <col min="14076" max="14077" width="11" customWidth="1"/>
    <col min="14078" max="14079" width="9.140625" customWidth="1"/>
    <col min="14080" max="14080" width="19" customWidth="1"/>
    <col min="14328" max="14328" width="25.85546875" customWidth="1"/>
    <col min="14329" max="14330" width="11" customWidth="1"/>
    <col min="14331" max="14331" width="22.85546875" customWidth="1"/>
    <col min="14332" max="14333" width="11" customWidth="1"/>
    <col min="14334" max="14335" width="9.140625" customWidth="1"/>
    <col min="14336" max="14336" width="19" customWidth="1"/>
    <col min="14584" max="14584" width="25.85546875" customWidth="1"/>
    <col min="14585" max="14586" width="11" customWidth="1"/>
    <col min="14587" max="14587" width="22.85546875" customWidth="1"/>
    <col min="14588" max="14589" width="11" customWidth="1"/>
    <col min="14590" max="14591" width="9.140625" customWidth="1"/>
    <col min="14592" max="14592" width="19" customWidth="1"/>
    <col min="14840" max="14840" width="25.85546875" customWidth="1"/>
    <col min="14841" max="14842" width="11" customWidth="1"/>
    <col min="14843" max="14843" width="22.85546875" customWidth="1"/>
    <col min="14844" max="14845" width="11" customWidth="1"/>
    <col min="14846" max="14847" width="9.140625" customWidth="1"/>
    <col min="14848" max="14848" width="19" customWidth="1"/>
    <col min="15096" max="15096" width="25.85546875" customWidth="1"/>
    <col min="15097" max="15098" width="11" customWidth="1"/>
    <col min="15099" max="15099" width="22.85546875" customWidth="1"/>
    <col min="15100" max="15101" width="11" customWidth="1"/>
    <col min="15102" max="15103" width="9.140625" customWidth="1"/>
    <col min="15104" max="15104" width="19" customWidth="1"/>
    <col min="15352" max="15352" width="25.85546875" customWidth="1"/>
    <col min="15353" max="15354" width="11" customWidth="1"/>
    <col min="15355" max="15355" width="22.85546875" customWidth="1"/>
    <col min="15356" max="15357" width="11" customWidth="1"/>
    <col min="15358" max="15359" width="9.140625" customWidth="1"/>
    <col min="15360" max="15360" width="19" customWidth="1"/>
    <col min="15608" max="15608" width="25.85546875" customWidth="1"/>
    <col min="15609" max="15610" width="11" customWidth="1"/>
    <col min="15611" max="15611" width="22.85546875" customWidth="1"/>
    <col min="15612" max="15613" width="11" customWidth="1"/>
    <col min="15614" max="15615" width="9.140625" customWidth="1"/>
    <col min="15616" max="15616" width="19" customWidth="1"/>
    <col min="15864" max="15864" width="25.85546875" customWidth="1"/>
    <col min="15865" max="15866" width="11" customWidth="1"/>
    <col min="15867" max="15867" width="22.85546875" customWidth="1"/>
    <col min="15868" max="15869" width="11" customWidth="1"/>
    <col min="15870" max="15871" width="9.140625" customWidth="1"/>
    <col min="15872" max="15872" width="19" customWidth="1"/>
    <col min="16120" max="16120" width="25.85546875" customWidth="1"/>
    <col min="16121" max="16122" width="11" customWidth="1"/>
    <col min="16123" max="16123" width="22.85546875" customWidth="1"/>
    <col min="16124" max="16125" width="11" customWidth="1"/>
    <col min="16126" max="16127" width="9.140625" customWidth="1"/>
    <col min="16128" max="16128" width="19" customWidth="1"/>
  </cols>
  <sheetData>
    <row r="1" spans="1:24" s="11" customFormat="1" ht="20.25" x14ac:dyDescent="0.3">
      <c r="A1" s="273" t="s">
        <v>509</v>
      </c>
      <c r="B1" s="273"/>
      <c r="C1" s="273"/>
      <c r="I1" s="263"/>
      <c r="R1" s="263"/>
      <c r="S1" s="259"/>
      <c r="U1" s="263"/>
    </row>
    <row r="2" spans="1:24" s="198" customFormat="1" ht="18" customHeight="1" x14ac:dyDescent="0.2">
      <c r="I2" s="264"/>
      <c r="R2" s="264"/>
      <c r="S2" s="274"/>
      <c r="U2" s="264"/>
    </row>
    <row r="3" spans="1:24" s="198" customFormat="1" ht="12.75" x14ac:dyDescent="0.2">
      <c r="I3" s="264"/>
      <c r="R3" s="264"/>
      <c r="S3" s="274"/>
      <c r="U3" s="264"/>
    </row>
    <row r="4" spans="1:24" s="198" customFormat="1" ht="12.75" x14ac:dyDescent="0.2">
      <c r="I4" s="264"/>
      <c r="R4" s="264"/>
      <c r="S4" s="274"/>
      <c r="U4" s="264"/>
    </row>
    <row r="5" spans="1:24" x14ac:dyDescent="0.25">
      <c r="D5" t="s">
        <v>498</v>
      </c>
      <c r="I5" s="265" t="s">
        <v>499</v>
      </c>
      <c r="S5" s="275" t="s">
        <v>510</v>
      </c>
      <c r="U5" s="265" t="s">
        <v>443</v>
      </c>
      <c r="W5" t="s">
        <v>63</v>
      </c>
    </row>
    <row r="6" spans="1:24" x14ac:dyDescent="0.25">
      <c r="A6" s="197"/>
      <c r="B6" s="197"/>
      <c r="C6" s="197"/>
      <c r="D6" s="197"/>
      <c r="E6" s="197"/>
      <c r="H6">
        <v>1</v>
      </c>
      <c r="Q6">
        <v>2</v>
      </c>
      <c r="T6" s="277">
        <v>3</v>
      </c>
    </row>
    <row r="7" spans="1:24" ht="12.75" customHeight="1" x14ac:dyDescent="0.25">
      <c r="A7" s="479" t="s">
        <v>251</v>
      </c>
      <c r="B7" s="240"/>
      <c r="C7" s="240"/>
      <c r="D7" s="474" t="s">
        <v>336</v>
      </c>
      <c r="E7" s="474" t="s">
        <v>337</v>
      </c>
      <c r="F7" s="474" t="s">
        <v>338</v>
      </c>
      <c r="G7" s="476" t="s">
        <v>402</v>
      </c>
      <c r="H7" s="473" t="s">
        <v>981</v>
      </c>
      <c r="I7" s="477" t="s">
        <v>403</v>
      </c>
      <c r="J7" s="474" t="s">
        <v>404</v>
      </c>
      <c r="K7" s="474" t="s">
        <v>405</v>
      </c>
      <c r="L7" s="474" t="s">
        <v>406</v>
      </c>
      <c r="M7" s="474" t="s">
        <v>407</v>
      </c>
      <c r="N7" s="474" t="s">
        <v>408</v>
      </c>
      <c r="O7" s="474" t="s">
        <v>409</v>
      </c>
      <c r="P7" s="476" t="s">
        <v>402</v>
      </c>
      <c r="Q7" s="473" t="s">
        <v>981</v>
      </c>
      <c r="R7" s="477" t="s">
        <v>838</v>
      </c>
      <c r="S7" s="474" t="s">
        <v>555</v>
      </c>
      <c r="T7" s="473" t="s">
        <v>981</v>
      </c>
    </row>
    <row r="8" spans="1:24" ht="22.5" customHeight="1" x14ac:dyDescent="0.25">
      <c r="A8" s="480"/>
      <c r="B8" s="241" t="s">
        <v>554</v>
      </c>
      <c r="C8" s="241"/>
      <c r="D8" s="475"/>
      <c r="E8" s="475"/>
      <c r="F8" s="475"/>
      <c r="G8" s="476"/>
      <c r="H8" s="473"/>
      <c r="I8" s="478" t="s">
        <v>500</v>
      </c>
      <c r="J8" s="475" t="s">
        <v>501</v>
      </c>
      <c r="K8" s="475" t="s">
        <v>502</v>
      </c>
      <c r="L8" s="475" t="s">
        <v>503</v>
      </c>
      <c r="M8" s="475" t="s">
        <v>504</v>
      </c>
      <c r="N8" s="475" t="s">
        <v>505</v>
      </c>
      <c r="O8" s="475" t="s">
        <v>506</v>
      </c>
      <c r="P8" s="476"/>
      <c r="Q8" s="473"/>
      <c r="R8" s="478"/>
      <c r="S8" s="475"/>
      <c r="T8" s="473"/>
    </row>
    <row r="9" spans="1:24" ht="22.5" customHeight="1" x14ac:dyDescent="0.25">
      <c r="A9" s="338" t="s">
        <v>839</v>
      </c>
      <c r="B9" s="338"/>
      <c r="C9" s="338"/>
      <c r="D9" s="336">
        <f>'Concrete Mix'!B5</f>
        <v>2290</v>
      </c>
      <c r="E9" s="336">
        <f>'Concrete Mix'!C5</f>
        <v>2380</v>
      </c>
      <c r="F9" s="336">
        <f>'Concrete Mix'!D5</f>
        <v>2320</v>
      </c>
      <c r="G9" s="336">
        <f>AVERAGE(D9:F9)</f>
        <v>2330</v>
      </c>
      <c r="H9" s="340"/>
      <c r="I9" s="337">
        <f>'Concrete Mix'!E5</f>
        <v>2370</v>
      </c>
      <c r="J9" s="336">
        <f>'Concrete Mix'!F5</f>
        <v>2380</v>
      </c>
      <c r="K9" s="336">
        <f>'Concrete Mix'!G5</f>
        <v>2320</v>
      </c>
      <c r="L9" s="336">
        <f>'Concrete Mix'!H5</f>
        <v>2320</v>
      </c>
      <c r="M9" s="336">
        <f>'Concrete Mix'!I5</f>
        <v>2320</v>
      </c>
      <c r="N9" s="336">
        <f>'Concrete Mix'!J5</f>
        <v>2320</v>
      </c>
      <c r="O9" s="336">
        <f>'Concrete Mix'!K5</f>
        <v>2320</v>
      </c>
      <c r="P9" s="203">
        <f>AVERAGE(I9:O9)</f>
        <v>2335.7142857142858</v>
      </c>
      <c r="Q9" s="340"/>
      <c r="R9" s="341"/>
      <c r="S9" s="342">
        <f>'Concrete Mix'!L5</f>
        <v>1822</v>
      </c>
      <c r="T9" s="342"/>
    </row>
    <row r="10" spans="1:24" ht="12.75" customHeight="1" x14ac:dyDescent="0.25">
      <c r="A10" s="199" t="s">
        <v>252</v>
      </c>
      <c r="B10" s="199" t="s">
        <v>776</v>
      </c>
      <c r="C10" s="199" t="str">
        <f>RIGHT(B10,LEN(B10)-3)</f>
        <v>water_in</v>
      </c>
      <c r="D10" s="195">
        <v>101</v>
      </c>
      <c r="E10" s="195">
        <v>101</v>
      </c>
      <c r="F10" s="195">
        <v>101</v>
      </c>
      <c r="G10" s="203">
        <f>AVERAGE(D10:F10)</f>
        <v>101</v>
      </c>
      <c r="H10" s="200">
        <f>G10/G$9</f>
        <v>4.3347639484978544E-2</v>
      </c>
      <c r="I10" s="268">
        <v>7.74</v>
      </c>
      <c r="J10" s="262">
        <v>7.74</v>
      </c>
      <c r="K10" s="262">
        <v>7.74</v>
      </c>
      <c r="L10" s="262">
        <v>7.74</v>
      </c>
      <c r="M10" s="262">
        <v>7.74</v>
      </c>
      <c r="N10" s="262">
        <v>7.74</v>
      </c>
      <c r="O10" s="262">
        <v>7.74</v>
      </c>
      <c r="P10" s="203">
        <f>AVERAGE(I10:O10)</f>
        <v>7.7400000000000011</v>
      </c>
      <c r="Q10" s="200">
        <f>P10/P$9</f>
        <v>3.3137614678899088E-3</v>
      </c>
      <c r="R10" s="267">
        <f>S10*131/100</f>
        <v>14.016999999999998</v>
      </c>
      <c r="S10" s="276">
        <v>10.7</v>
      </c>
      <c r="T10" s="200">
        <f>S10/S$9</f>
        <v>5.8726673984632266E-3</v>
      </c>
      <c r="W10">
        <v>1</v>
      </c>
      <c r="X10" t="s">
        <v>982</v>
      </c>
    </row>
    <row r="11" spans="1:24" ht="12.75" customHeight="1" x14ac:dyDescent="0.25">
      <c r="A11" s="205" t="s">
        <v>306</v>
      </c>
      <c r="C11" s="199"/>
      <c r="D11" s="196"/>
      <c r="E11" s="196"/>
      <c r="F11" s="196"/>
      <c r="G11" s="203"/>
      <c r="H11" s="204"/>
      <c r="I11" s="269"/>
      <c r="J11" s="261"/>
      <c r="K11" s="261"/>
      <c r="L11" s="261"/>
      <c r="M11" s="261"/>
      <c r="N11" s="261"/>
      <c r="O11" s="261"/>
      <c r="P11" s="203"/>
      <c r="Q11" s="204"/>
      <c r="R11" s="267"/>
      <c r="S11" s="276"/>
      <c r="T11" s="204"/>
      <c r="W11">
        <v>1</v>
      </c>
    </row>
    <row r="12" spans="1:24" ht="12.75" customHeight="1" x14ac:dyDescent="0.25">
      <c r="A12" s="199" t="s">
        <v>253</v>
      </c>
      <c r="B12" s="205" t="s">
        <v>517</v>
      </c>
      <c r="C12" s="199" t="str">
        <f t="shared" ref="C12:C62" si="0">RIGHT(B12,LEN(B12)-3)</f>
        <v>gasoline</v>
      </c>
      <c r="D12" s="195">
        <v>0.93200000000000005</v>
      </c>
      <c r="E12" s="195">
        <v>0.93200000000000005</v>
      </c>
      <c r="F12" s="195">
        <v>0.93200000000000005</v>
      </c>
      <c r="G12" s="203">
        <f>AVERAGE(D12:F12)</f>
        <v>0.93200000000000005</v>
      </c>
      <c r="H12" s="200">
        <f>G12*Conversions!$D$5*Conversions!$D$6*Conversions!$D$9/G9</f>
        <v>2.8769160219632413E-4</v>
      </c>
      <c r="I12" s="269">
        <v>0</v>
      </c>
      <c r="J12" s="261">
        <v>0</v>
      </c>
      <c r="K12" s="261">
        <v>0</v>
      </c>
      <c r="L12" s="261">
        <v>0</v>
      </c>
      <c r="M12" s="261">
        <v>0</v>
      </c>
      <c r="N12" s="261">
        <v>0</v>
      </c>
      <c r="O12" s="261">
        <v>0</v>
      </c>
      <c r="P12" s="203">
        <f t="shared" ref="P12:P13" si="1">AVERAGE(I12:O12)</f>
        <v>0</v>
      </c>
      <c r="Q12" s="200">
        <f>P12*Conversions!$D$5*Conversions!$D$6*Conversions!$D$9/P9</f>
        <v>0</v>
      </c>
      <c r="R12" s="267">
        <f t="shared" ref="R12:R62" si="2">S12*131/100</f>
        <v>0</v>
      </c>
      <c r="S12" s="276">
        <v>0</v>
      </c>
      <c r="T12" s="200">
        <f>S12*Conversions!$D$5*Conversions!$D$6*Conversions!$D$9/S9</f>
        <v>0</v>
      </c>
      <c r="W12">
        <v>1</v>
      </c>
    </row>
    <row r="13" spans="1:24" ht="12.75" customHeight="1" x14ac:dyDescent="0.25">
      <c r="A13" s="199" t="s">
        <v>254</v>
      </c>
      <c r="B13" s="199" t="s">
        <v>518</v>
      </c>
      <c r="C13" s="199" t="str">
        <f t="shared" si="0"/>
        <v>LPG</v>
      </c>
      <c r="D13" s="195">
        <v>2.29</v>
      </c>
      <c r="E13" s="195">
        <v>2.29</v>
      </c>
      <c r="F13" s="195">
        <v>2.29</v>
      </c>
      <c r="G13" s="203">
        <f t="shared" ref="G13:G16" si="3">AVERAGE(D13:F13)</f>
        <v>2.29</v>
      </c>
      <c r="H13" s="200">
        <f>G13*Conversions!$D$7*Conversions!$D$10/G9</f>
        <v>1.6708154506437767E-6</v>
      </c>
      <c r="I13" s="269">
        <v>0</v>
      </c>
      <c r="J13" s="261">
        <v>0</v>
      </c>
      <c r="K13" s="261">
        <v>0</v>
      </c>
      <c r="L13" s="261">
        <v>0</v>
      </c>
      <c r="M13" s="261">
        <v>0</v>
      </c>
      <c r="N13" s="261">
        <v>0</v>
      </c>
      <c r="O13" s="261">
        <v>0</v>
      </c>
      <c r="P13" s="203">
        <f t="shared" si="1"/>
        <v>0</v>
      </c>
      <c r="Q13" s="200">
        <f>P13*Conversions!$D$7*Conversions!$D$10/P9</f>
        <v>0</v>
      </c>
      <c r="R13" s="267">
        <f t="shared" si="2"/>
        <v>2.0567000000000002</v>
      </c>
      <c r="S13" s="276">
        <v>1.57</v>
      </c>
      <c r="T13" s="200">
        <f>S13*Conversions!$D$7*Conversions!$D$10/S9</f>
        <v>1.464873765093304E-6</v>
      </c>
      <c r="W13">
        <v>1</v>
      </c>
    </row>
    <row r="14" spans="1:24" ht="12.75" customHeight="1" x14ac:dyDescent="0.25">
      <c r="A14" s="199" t="s">
        <v>255</v>
      </c>
      <c r="B14" s="199" t="s">
        <v>519</v>
      </c>
      <c r="C14" s="199" t="str">
        <f t="shared" si="0"/>
        <v>distillate</v>
      </c>
      <c r="D14" s="195">
        <v>6.26</v>
      </c>
      <c r="E14" s="195">
        <v>6.26</v>
      </c>
      <c r="F14" s="195">
        <v>6.26</v>
      </c>
      <c r="G14" s="203">
        <f t="shared" si="3"/>
        <v>6.2600000000000007</v>
      </c>
      <c r="H14" s="200">
        <f>G14*Conversions!$D$5*Conversions!$D$6*Conversions!$D$11/G9</f>
        <v>2.3390462713243918E-3</v>
      </c>
      <c r="I14" s="268">
        <v>0.435</v>
      </c>
      <c r="J14" s="262">
        <v>0.435</v>
      </c>
      <c r="K14" s="262">
        <v>0.435</v>
      </c>
      <c r="L14" s="262">
        <v>0.435</v>
      </c>
      <c r="M14" s="262">
        <v>0.435</v>
      </c>
      <c r="N14" s="262">
        <v>0.435</v>
      </c>
      <c r="O14" s="262">
        <v>0.435</v>
      </c>
      <c r="P14" s="203">
        <f>AVERAGE(I14:O14)</f>
        <v>0.435</v>
      </c>
      <c r="Q14" s="200">
        <f>P14*Conversions!$D$5*Conversions!$D$6*Conversions!$D$11/P9</f>
        <v>1.6213991497988155E-4</v>
      </c>
      <c r="R14" s="267">
        <f t="shared" si="2"/>
        <v>0</v>
      </c>
      <c r="S14" s="276">
        <v>0</v>
      </c>
      <c r="T14" s="200">
        <f>S14*Conversions!$D$5*Conversions!$D$6*Conversions!$D$11/S9</f>
        <v>0</v>
      </c>
      <c r="W14">
        <v>1</v>
      </c>
    </row>
    <row r="15" spans="1:24" ht="12.75" customHeight="1" x14ac:dyDescent="0.25">
      <c r="A15" s="196" t="s">
        <v>256</v>
      </c>
      <c r="B15" s="199" t="s">
        <v>520</v>
      </c>
      <c r="C15" s="199" t="str">
        <f t="shared" si="0"/>
        <v>nat_gas</v>
      </c>
      <c r="D15" s="195">
        <v>9.1400000000000006E-3</v>
      </c>
      <c r="E15" s="195">
        <v>9.1400000000000006E-3</v>
      </c>
      <c r="F15" s="195">
        <v>9.1400000000000006E-3</v>
      </c>
      <c r="G15" s="203">
        <f t="shared" si="3"/>
        <v>9.1400000000000006E-3</v>
      </c>
      <c r="H15" s="200">
        <f>G15*1000*Conversions!$D$12/G9</f>
        <v>3.1381974248927045E-3</v>
      </c>
      <c r="I15" s="268">
        <v>2.9300000000000002E-4</v>
      </c>
      <c r="J15" s="262">
        <v>2.9300000000000002E-4</v>
      </c>
      <c r="K15" s="262">
        <v>2.9300000000000002E-4</v>
      </c>
      <c r="L15" s="262">
        <v>2.9300000000000002E-4</v>
      </c>
      <c r="M15" s="262">
        <v>2.9300000000000002E-4</v>
      </c>
      <c r="N15" s="262">
        <v>2.9300000000000002E-4</v>
      </c>
      <c r="O15" s="262">
        <v>2.9300000000000002E-4</v>
      </c>
      <c r="P15" s="203">
        <f>AVERAGE(I15:O15)</f>
        <v>2.9300000000000002E-4</v>
      </c>
      <c r="Q15" s="200">
        <f>P15*1000*Conversions!$D$12/P9</f>
        <v>1.003547400611621E-4</v>
      </c>
      <c r="R15" s="267">
        <f t="shared" si="2"/>
        <v>5.2792999999999998E-3</v>
      </c>
      <c r="S15" s="276">
        <v>4.0299999999999997E-3</v>
      </c>
      <c r="T15" s="200">
        <f>S15*1000*Conversions!$D$12/S9</f>
        <v>1.7694840834248078E-3</v>
      </c>
      <c r="W15">
        <v>1</v>
      </c>
    </row>
    <row r="16" spans="1:24" ht="15.75" customHeight="1" x14ac:dyDescent="0.25">
      <c r="A16" s="199" t="s">
        <v>257</v>
      </c>
      <c r="B16" s="196" t="s">
        <v>521</v>
      </c>
      <c r="C16" s="199" t="str">
        <f t="shared" si="0"/>
        <v>electric</v>
      </c>
      <c r="D16" s="195">
        <v>38.1</v>
      </c>
      <c r="E16" s="195">
        <v>38.1</v>
      </c>
      <c r="F16" s="195">
        <v>38.1</v>
      </c>
      <c r="G16" s="203">
        <f t="shared" si="3"/>
        <v>38.1</v>
      </c>
      <c r="H16" s="271">
        <f>G16/G9</f>
        <v>1.6351931330472105E-2</v>
      </c>
      <c r="I16" s="268">
        <v>4.1100000000000003</v>
      </c>
      <c r="J16" s="262">
        <v>4.1100000000000003</v>
      </c>
      <c r="K16" s="262">
        <v>4.1100000000000003</v>
      </c>
      <c r="L16" s="262">
        <v>4.1100000000000003</v>
      </c>
      <c r="M16" s="262">
        <v>4.1100000000000003</v>
      </c>
      <c r="N16" s="262">
        <v>4.1100000000000003</v>
      </c>
      <c r="O16" s="262">
        <v>4.1100000000000003</v>
      </c>
      <c r="P16" s="203">
        <f>AVERAGE(I16:O16)</f>
        <v>4.1100000000000003</v>
      </c>
      <c r="Q16" s="271">
        <f>P16/P9</f>
        <v>1.7596330275229358E-3</v>
      </c>
      <c r="R16" s="267">
        <f t="shared" si="2"/>
        <v>12.038899999999998</v>
      </c>
      <c r="S16" s="276">
        <v>9.19</v>
      </c>
      <c r="T16" s="271">
        <f>S16/S9</f>
        <v>5.0439077936333693E-3</v>
      </c>
      <c r="W16">
        <v>1</v>
      </c>
    </row>
    <row r="17" spans="1:23" ht="12.75" customHeight="1" x14ac:dyDescent="0.25">
      <c r="A17" s="205" t="s">
        <v>91</v>
      </c>
      <c r="C17" s="199"/>
      <c r="D17" s="196"/>
      <c r="E17" s="196"/>
      <c r="F17" s="196"/>
      <c r="G17" s="272"/>
      <c r="H17" s="193"/>
      <c r="I17" s="269"/>
      <c r="J17" s="261"/>
      <c r="K17" s="261"/>
      <c r="L17" s="261"/>
      <c r="M17" s="261"/>
      <c r="N17" s="261"/>
      <c r="O17" s="261"/>
      <c r="P17" s="203"/>
      <c r="Q17" s="193"/>
      <c r="R17" s="267"/>
      <c r="S17" s="276"/>
      <c r="T17" s="193"/>
    </row>
    <row r="18" spans="1:23" ht="12.75" customHeight="1" x14ac:dyDescent="0.25">
      <c r="A18" s="199" t="s">
        <v>258</v>
      </c>
      <c r="B18" s="199" t="s">
        <v>522</v>
      </c>
      <c r="C18" s="199" t="str">
        <f t="shared" si="0"/>
        <v>chlor_wat</v>
      </c>
      <c r="D18" s="195">
        <v>1.6399999999999999E-9</v>
      </c>
      <c r="E18" s="195">
        <v>1.6399999999999999E-9</v>
      </c>
      <c r="F18" s="195">
        <v>1.6399999999999999E-9</v>
      </c>
      <c r="G18" s="203">
        <f>AVERAGE(D18:F18)</f>
        <v>1.6399999999999999E-9</v>
      </c>
      <c r="H18" s="271">
        <f>G18/G$9</f>
        <v>7.0386266094420596E-13</v>
      </c>
      <c r="I18" s="268">
        <v>3.0899999999999999E-9</v>
      </c>
      <c r="J18" s="262">
        <v>3.0899999999999999E-9</v>
      </c>
      <c r="K18" s="262">
        <v>3.0899999999999999E-9</v>
      </c>
      <c r="L18" s="262">
        <v>3.0899999999999999E-9</v>
      </c>
      <c r="M18" s="262">
        <v>3.0899999999999999E-9</v>
      </c>
      <c r="N18" s="262">
        <v>3.0899999999999999E-9</v>
      </c>
      <c r="O18" s="262">
        <v>3.0899999999999999E-9</v>
      </c>
      <c r="P18" s="203">
        <f t="shared" ref="P18:P23" si="4">AVERAGE(I18:O18)</f>
        <v>3.0899999999999999E-9</v>
      </c>
      <c r="Q18" s="271">
        <f>P18/P$9</f>
        <v>1.3229357798165136E-12</v>
      </c>
      <c r="R18" s="267">
        <f t="shared" si="2"/>
        <v>0</v>
      </c>
      <c r="S18" s="276">
        <v>0</v>
      </c>
      <c r="T18" s="271">
        <f>S18/S$9</f>
        <v>0</v>
      </c>
      <c r="U18" s="270"/>
      <c r="W18">
        <v>1</v>
      </c>
    </row>
    <row r="19" spans="1:23" ht="12.75" customHeight="1" x14ac:dyDescent="0.25">
      <c r="A19" s="199" t="s">
        <v>259</v>
      </c>
      <c r="B19" s="205" t="s">
        <v>523</v>
      </c>
      <c r="C19" s="199" t="str">
        <f t="shared" si="0"/>
        <v>cu_to_wat</v>
      </c>
      <c r="D19" s="195">
        <v>8.2100000000000004E-9</v>
      </c>
      <c r="E19" s="195">
        <v>8.2100000000000004E-9</v>
      </c>
      <c r="F19" s="195">
        <v>8.2100000000000004E-9</v>
      </c>
      <c r="G19" s="203">
        <f t="shared" ref="G19:G23" si="5">AVERAGE(D19:F19)</f>
        <v>8.2100000000000004E-9</v>
      </c>
      <c r="H19" s="271">
        <f t="shared" ref="H19:H23" si="6">G19/G$9</f>
        <v>3.5236051502145926E-12</v>
      </c>
      <c r="I19" s="268">
        <v>1.55E-8</v>
      </c>
      <c r="J19" s="262">
        <v>1.55E-8</v>
      </c>
      <c r="K19" s="262">
        <v>1.55E-8</v>
      </c>
      <c r="L19" s="262">
        <v>1.55E-8</v>
      </c>
      <c r="M19" s="262">
        <v>1.55E-8</v>
      </c>
      <c r="N19" s="262">
        <v>1.55E-8</v>
      </c>
      <c r="O19" s="262">
        <v>1.55E-8</v>
      </c>
      <c r="P19" s="203">
        <f t="shared" si="4"/>
        <v>1.55E-8</v>
      </c>
      <c r="Q19" s="271">
        <f t="shared" ref="Q19:Q58" si="7">P19/P$9</f>
        <v>6.6360856269113144E-12</v>
      </c>
      <c r="R19" s="267">
        <f t="shared" si="2"/>
        <v>0</v>
      </c>
      <c r="S19" s="276">
        <v>0</v>
      </c>
      <c r="T19" s="271">
        <f t="shared" ref="T19:T58" si="8">S19/S$9</f>
        <v>0</v>
      </c>
      <c r="U19" s="270"/>
      <c r="W19">
        <v>1</v>
      </c>
    </row>
    <row r="20" spans="1:23" ht="12.75" customHeight="1" x14ac:dyDescent="0.25">
      <c r="A20" s="199" t="s">
        <v>260</v>
      </c>
      <c r="B20" s="199" t="s">
        <v>524</v>
      </c>
      <c r="C20" s="199" t="str">
        <f t="shared" si="0"/>
        <v>Fe_to_wat</v>
      </c>
      <c r="D20" s="195">
        <v>8.2100000000000004E-9</v>
      </c>
      <c r="E20" s="195">
        <v>8.2100000000000004E-9</v>
      </c>
      <c r="F20" s="195">
        <v>8.2100000000000004E-9</v>
      </c>
      <c r="G20" s="203">
        <f t="shared" si="5"/>
        <v>8.2100000000000004E-9</v>
      </c>
      <c r="H20" s="271">
        <f t="shared" si="6"/>
        <v>3.5236051502145926E-12</v>
      </c>
      <c r="I20" s="268">
        <v>1.55E-8</v>
      </c>
      <c r="J20" s="262">
        <v>1.55E-8</v>
      </c>
      <c r="K20" s="262">
        <v>1.55E-8</v>
      </c>
      <c r="L20" s="262">
        <v>1.55E-8</v>
      </c>
      <c r="M20" s="262">
        <v>1.55E-8</v>
      </c>
      <c r="N20" s="262">
        <v>1.55E-8</v>
      </c>
      <c r="O20" s="262">
        <v>1.55E-8</v>
      </c>
      <c r="P20" s="203">
        <f t="shared" si="4"/>
        <v>1.55E-8</v>
      </c>
      <c r="Q20" s="271">
        <f t="shared" si="7"/>
        <v>6.6360856269113144E-12</v>
      </c>
      <c r="R20" s="267">
        <f t="shared" si="2"/>
        <v>0</v>
      </c>
      <c r="S20" s="276">
        <v>0</v>
      </c>
      <c r="T20" s="271">
        <f t="shared" si="8"/>
        <v>0</v>
      </c>
      <c r="U20" s="270"/>
      <c r="W20">
        <v>1</v>
      </c>
    </row>
    <row r="21" spans="1:23" ht="12.75" customHeight="1" x14ac:dyDescent="0.25">
      <c r="A21" s="199" t="s">
        <v>261</v>
      </c>
      <c r="B21" s="199" t="s">
        <v>525</v>
      </c>
      <c r="C21" s="199" t="str">
        <f t="shared" si="0"/>
        <v>oil_to_wat</v>
      </c>
      <c r="D21" s="195">
        <v>1.23E-7</v>
      </c>
      <c r="E21" s="195">
        <v>1.23E-7</v>
      </c>
      <c r="F21" s="195">
        <v>1.23E-7</v>
      </c>
      <c r="G21" s="203">
        <f t="shared" si="5"/>
        <v>1.23E-7</v>
      </c>
      <c r="H21" s="271">
        <f t="shared" si="6"/>
        <v>5.2789699570815453E-11</v>
      </c>
      <c r="I21" s="268">
        <v>2.3200000000000001E-7</v>
      </c>
      <c r="J21" s="262">
        <v>2.3200000000000001E-7</v>
      </c>
      <c r="K21" s="262">
        <v>2.3200000000000001E-7</v>
      </c>
      <c r="L21" s="262">
        <v>2.3200000000000001E-7</v>
      </c>
      <c r="M21" s="262">
        <v>2.3200000000000001E-7</v>
      </c>
      <c r="N21" s="262">
        <v>2.3200000000000001E-7</v>
      </c>
      <c r="O21" s="262">
        <v>2.3200000000000001E-7</v>
      </c>
      <c r="P21" s="203">
        <f t="shared" si="4"/>
        <v>2.3200000000000004E-7</v>
      </c>
      <c r="Q21" s="271">
        <f t="shared" si="7"/>
        <v>9.9327217125382277E-11</v>
      </c>
      <c r="R21" s="267">
        <f t="shared" si="2"/>
        <v>0</v>
      </c>
      <c r="S21" s="276">
        <v>0</v>
      </c>
      <c r="T21" s="271">
        <f t="shared" si="8"/>
        <v>0</v>
      </c>
      <c r="U21" s="270"/>
      <c r="W21">
        <v>1</v>
      </c>
    </row>
    <row r="22" spans="1:23" ht="12.75" customHeight="1" x14ac:dyDescent="0.25">
      <c r="A22" s="199" t="s">
        <v>262</v>
      </c>
      <c r="B22" s="199" t="s">
        <v>526</v>
      </c>
      <c r="C22" s="199" t="str">
        <f t="shared" si="0"/>
        <v>SS_to_wat</v>
      </c>
      <c r="D22" s="195">
        <v>2.4600000000000001E-7</v>
      </c>
      <c r="E22" s="195">
        <v>2.4600000000000001E-7</v>
      </c>
      <c r="F22" s="195">
        <v>2.4600000000000001E-7</v>
      </c>
      <c r="G22" s="203">
        <f t="shared" si="5"/>
        <v>2.4600000000000001E-7</v>
      </c>
      <c r="H22" s="271">
        <f t="shared" si="6"/>
        <v>1.0557939914163091E-10</v>
      </c>
      <c r="I22" s="268">
        <v>4.6400000000000003E-7</v>
      </c>
      <c r="J22" s="262">
        <v>4.6400000000000003E-7</v>
      </c>
      <c r="K22" s="262">
        <v>4.6400000000000003E-7</v>
      </c>
      <c r="L22" s="262">
        <v>4.6400000000000003E-7</v>
      </c>
      <c r="M22" s="262">
        <v>4.6400000000000003E-7</v>
      </c>
      <c r="N22" s="262">
        <v>4.6400000000000003E-7</v>
      </c>
      <c r="O22" s="262">
        <v>4.6400000000000003E-7</v>
      </c>
      <c r="P22" s="203">
        <f t="shared" si="4"/>
        <v>4.6400000000000008E-7</v>
      </c>
      <c r="Q22" s="271">
        <f t="shared" si="7"/>
        <v>1.9865443425076455E-10</v>
      </c>
      <c r="R22" s="267">
        <f t="shared" si="2"/>
        <v>0</v>
      </c>
      <c r="S22" s="276">
        <v>0</v>
      </c>
      <c r="T22" s="271">
        <f t="shared" si="8"/>
        <v>0</v>
      </c>
      <c r="U22" s="270"/>
      <c r="W22">
        <v>1</v>
      </c>
    </row>
    <row r="23" spans="1:23" ht="12.75" customHeight="1" x14ac:dyDescent="0.25">
      <c r="A23" s="199" t="s">
        <v>263</v>
      </c>
      <c r="B23" s="199" t="s">
        <v>527</v>
      </c>
      <c r="C23" s="199" t="str">
        <f t="shared" si="0"/>
        <v>water_out</v>
      </c>
      <c r="D23" s="195">
        <v>499</v>
      </c>
      <c r="E23" s="195">
        <v>499</v>
      </c>
      <c r="F23" s="195">
        <v>499</v>
      </c>
      <c r="G23" s="203">
        <f t="shared" si="5"/>
        <v>499</v>
      </c>
      <c r="H23" s="200">
        <f t="shared" si="6"/>
        <v>0.21416309012875537</v>
      </c>
      <c r="I23" s="268">
        <v>34.799999999999997</v>
      </c>
      <c r="J23" s="262">
        <v>34.799999999999997</v>
      </c>
      <c r="K23" s="262">
        <v>34.799999999999997</v>
      </c>
      <c r="L23" s="262">
        <v>34.799999999999997</v>
      </c>
      <c r="M23" s="262">
        <v>34.799999999999997</v>
      </c>
      <c r="N23" s="262">
        <v>34.799999999999997</v>
      </c>
      <c r="O23" s="262">
        <v>34.799999999999997</v>
      </c>
      <c r="P23" s="203">
        <f t="shared" si="4"/>
        <v>34.800000000000004</v>
      </c>
      <c r="Q23" s="200">
        <f t="shared" si="7"/>
        <v>1.4899082568807341E-2</v>
      </c>
      <c r="R23" s="267">
        <f t="shared" si="2"/>
        <v>5.9211999999999989</v>
      </c>
      <c r="S23" s="276">
        <v>4.5199999999999996</v>
      </c>
      <c r="T23" s="200">
        <f t="shared" si="8"/>
        <v>2.4807903402854006E-3</v>
      </c>
      <c r="U23" s="270"/>
      <c r="W23">
        <v>1</v>
      </c>
    </row>
    <row r="24" spans="1:23" ht="12.75" customHeight="1" x14ac:dyDescent="0.25">
      <c r="A24" s="205" t="s">
        <v>264</v>
      </c>
      <c r="C24" s="199"/>
      <c r="D24" s="195"/>
      <c r="E24" s="195"/>
      <c r="F24" s="195"/>
      <c r="G24" s="203"/>
      <c r="H24" s="201"/>
      <c r="I24" s="269"/>
      <c r="J24" s="261"/>
      <c r="K24" s="261"/>
      <c r="L24" s="261"/>
      <c r="M24" s="261"/>
      <c r="N24" s="261"/>
      <c r="O24" s="261"/>
      <c r="P24" s="203"/>
      <c r="Q24" s="201"/>
      <c r="R24" s="267"/>
      <c r="S24" s="276"/>
      <c r="T24" s="201">
        <f t="shared" si="8"/>
        <v>0</v>
      </c>
      <c r="U24" s="270"/>
    </row>
    <row r="25" spans="1:23" ht="12.75" customHeight="1" x14ac:dyDescent="0.25">
      <c r="A25" s="196" t="s">
        <v>265</v>
      </c>
      <c r="B25" s="199" t="s">
        <v>528</v>
      </c>
      <c r="C25" s="199" t="str">
        <f t="shared" si="0"/>
        <v>NH3_to_air</v>
      </c>
      <c r="D25" s="195">
        <v>3.4699999999999998E-4</v>
      </c>
      <c r="E25" s="195">
        <v>3.4699999999999998E-4</v>
      </c>
      <c r="F25" s="195">
        <v>3.4699999999999998E-4</v>
      </c>
      <c r="G25" s="203">
        <f>AVERAGE(D25:F25)</f>
        <v>3.4699999999999992E-4</v>
      </c>
      <c r="H25" s="200">
        <f>G25/G$9</f>
        <v>1.489270386266094E-7</v>
      </c>
      <c r="I25" s="268">
        <v>1.7800000000000001E-8</v>
      </c>
      <c r="J25" s="262">
        <v>1.7800000000000001E-8</v>
      </c>
      <c r="K25" s="262">
        <v>1.7800000000000001E-8</v>
      </c>
      <c r="L25" s="262">
        <v>1.7800000000000001E-8</v>
      </c>
      <c r="M25" s="262">
        <v>1.7800000000000001E-8</v>
      </c>
      <c r="N25" s="262">
        <v>1.7800000000000001E-8</v>
      </c>
      <c r="O25" s="262">
        <v>1.7800000000000001E-8</v>
      </c>
      <c r="P25" s="203">
        <f t="shared" ref="P25:P60" si="9">AVERAGE(I25:O25)</f>
        <v>1.7799999999999997E-8</v>
      </c>
      <c r="Q25" s="200">
        <f t="shared" si="7"/>
        <v>7.6207951070336383E-12</v>
      </c>
      <c r="R25" s="267">
        <f t="shared" si="2"/>
        <v>2.096E-7</v>
      </c>
      <c r="S25" s="276">
        <v>1.6E-7</v>
      </c>
      <c r="T25" s="200">
        <f t="shared" si="8"/>
        <v>8.7815587266739852E-11</v>
      </c>
      <c r="U25" s="270"/>
      <c r="W25">
        <v>1</v>
      </c>
    </row>
    <row r="26" spans="1:23" ht="12.75" customHeight="1" x14ac:dyDescent="0.25">
      <c r="A26" s="199" t="s">
        <v>266</v>
      </c>
      <c r="B26" s="199" t="s">
        <v>529</v>
      </c>
      <c r="C26" s="199" t="str">
        <f t="shared" si="0"/>
        <v>As_to_air</v>
      </c>
      <c r="D26" s="195">
        <v>3.6800000000000001E-7</v>
      </c>
      <c r="E26" s="195">
        <v>4.1300000000000001E-7</v>
      </c>
      <c r="F26" s="195">
        <v>3.8000000000000001E-7</v>
      </c>
      <c r="G26" s="203">
        <f t="shared" ref="G26:G60" si="10">AVERAGE(D26:F26)</f>
        <v>3.8700000000000001E-7</v>
      </c>
      <c r="H26" s="200">
        <f t="shared" ref="H26:H58" si="11">G26/G$9</f>
        <v>1.6609442060085837E-10</v>
      </c>
      <c r="I26" s="268">
        <v>3.7E-7</v>
      </c>
      <c r="J26" s="262">
        <v>3.7E-7</v>
      </c>
      <c r="K26" s="262">
        <v>3.6199999999999999E-7</v>
      </c>
      <c r="L26" s="262">
        <v>3.84E-7</v>
      </c>
      <c r="M26" s="262">
        <v>3.9000000000000002E-7</v>
      </c>
      <c r="N26" s="262">
        <v>4.01E-7</v>
      </c>
      <c r="O26" s="262">
        <v>4.1699999999999999E-7</v>
      </c>
      <c r="P26" s="203">
        <f t="shared" si="9"/>
        <v>3.8485714285714284E-7</v>
      </c>
      <c r="Q26" s="200">
        <f t="shared" si="7"/>
        <v>1.6477064220183485E-10</v>
      </c>
      <c r="R26" s="267">
        <f t="shared" si="2"/>
        <v>3.5894000000000001E-7</v>
      </c>
      <c r="S26" s="276">
        <v>2.7399999999999999E-7</v>
      </c>
      <c r="T26" s="200">
        <f t="shared" si="8"/>
        <v>1.5038419319429199E-10</v>
      </c>
      <c r="U26" s="270"/>
      <c r="V26" s="201"/>
      <c r="W26">
        <v>1</v>
      </c>
    </row>
    <row r="27" spans="1:23" ht="12.75" customHeight="1" x14ac:dyDescent="0.25">
      <c r="A27" s="199" t="s">
        <v>267</v>
      </c>
      <c r="C27" s="199"/>
      <c r="D27" s="195">
        <v>3.0800000000000001E-7</v>
      </c>
      <c r="E27" s="195">
        <v>3.0800000000000001E-7</v>
      </c>
      <c r="F27" s="195">
        <v>3.0800000000000001E-7</v>
      </c>
      <c r="G27" s="203">
        <f t="shared" si="10"/>
        <v>3.0800000000000001E-7</v>
      </c>
      <c r="H27" s="202">
        <f t="shared" si="11"/>
        <v>1.3218884120171674E-10</v>
      </c>
      <c r="I27" s="268">
        <v>9.8500000000000005E-9</v>
      </c>
      <c r="J27" s="262">
        <v>9.8500000000000005E-9</v>
      </c>
      <c r="K27" s="262">
        <v>9.8500000000000005E-9</v>
      </c>
      <c r="L27" s="262">
        <v>9.8500000000000005E-9</v>
      </c>
      <c r="M27" s="262">
        <v>9.8500000000000005E-9</v>
      </c>
      <c r="N27" s="262">
        <v>9.8500000000000005E-9</v>
      </c>
      <c r="O27" s="262">
        <v>9.8500000000000005E-9</v>
      </c>
      <c r="P27" s="203">
        <f t="shared" si="9"/>
        <v>9.8500000000000005E-9</v>
      </c>
      <c r="Q27" s="202">
        <f t="shared" si="7"/>
        <v>4.2171253822629971E-12</v>
      </c>
      <c r="R27" s="267">
        <f t="shared" si="2"/>
        <v>1.7816E-7</v>
      </c>
      <c r="S27" s="276">
        <v>1.36E-7</v>
      </c>
      <c r="T27" s="202">
        <f t="shared" si="8"/>
        <v>7.4643249176728865E-11</v>
      </c>
      <c r="U27" s="270">
        <v>1</v>
      </c>
      <c r="V27" s="204" t="s">
        <v>508</v>
      </c>
      <c r="W27">
        <v>1</v>
      </c>
    </row>
    <row r="28" spans="1:23" ht="12.75" customHeight="1" x14ac:dyDescent="0.25">
      <c r="A28" s="199" t="s">
        <v>268</v>
      </c>
      <c r="B28" s="205" t="s">
        <v>530</v>
      </c>
      <c r="C28" s="199" t="str">
        <f t="shared" si="0"/>
        <v>Be_to_air</v>
      </c>
      <c r="D28" s="195">
        <v>4.1799999999999997E-8</v>
      </c>
      <c r="E28" s="195">
        <v>4.58E-8</v>
      </c>
      <c r="F28" s="195">
        <v>4.29E-8</v>
      </c>
      <c r="G28" s="203">
        <f t="shared" si="10"/>
        <v>4.3499999999999992E-8</v>
      </c>
      <c r="H28" s="200">
        <f t="shared" si="11"/>
        <v>1.8669527896995703E-11</v>
      </c>
      <c r="I28" s="268">
        <v>5.0899999999999999E-8</v>
      </c>
      <c r="J28" s="262">
        <v>5.0899999999999999E-8</v>
      </c>
      <c r="K28" s="262">
        <v>5.02E-8</v>
      </c>
      <c r="L28" s="262">
        <v>5.2199999999999998E-8</v>
      </c>
      <c r="M28" s="262">
        <v>5.2700000000000002E-8</v>
      </c>
      <c r="N28" s="262">
        <v>5.3699999999999998E-8</v>
      </c>
      <c r="O28" s="262">
        <v>5.5199999999999998E-8</v>
      </c>
      <c r="P28" s="203">
        <f t="shared" si="9"/>
        <v>5.2257142857142856E-8</v>
      </c>
      <c r="Q28" s="200">
        <f t="shared" si="7"/>
        <v>2.2373088685015289E-11</v>
      </c>
      <c r="R28" s="267">
        <f t="shared" si="2"/>
        <v>3.0260999999999995E-8</v>
      </c>
      <c r="S28" s="276">
        <v>2.3099999999999998E-8</v>
      </c>
      <c r="T28" s="200">
        <f t="shared" si="8"/>
        <v>1.2678375411635564E-11</v>
      </c>
      <c r="U28" s="270"/>
      <c r="V28" s="201"/>
      <c r="W28">
        <v>1</v>
      </c>
    </row>
    <row r="29" spans="1:23" ht="12.75" customHeight="1" x14ac:dyDescent="0.25">
      <c r="A29" s="199" t="s">
        <v>269</v>
      </c>
      <c r="B29" s="196" t="s">
        <v>531</v>
      </c>
      <c r="C29" s="199" t="str">
        <f t="shared" si="0"/>
        <v>Cd_to_air</v>
      </c>
      <c r="D29" s="195">
        <v>1.7700000000000001E-7</v>
      </c>
      <c r="E29" s="195">
        <v>2.3300000000000001E-7</v>
      </c>
      <c r="F29" s="195">
        <v>1.7700000000000001E-7</v>
      </c>
      <c r="G29" s="203">
        <f t="shared" si="10"/>
        <v>1.9566666666666668E-7</v>
      </c>
      <c r="H29" s="200">
        <f t="shared" si="11"/>
        <v>8.3977110157367676E-11</v>
      </c>
      <c r="I29" s="268">
        <v>3.0099999999999998E-8</v>
      </c>
      <c r="J29" s="262">
        <v>3.0099999999999998E-8</v>
      </c>
      <c r="K29" s="262">
        <v>2.9999999999999997E-8</v>
      </c>
      <c r="L29" s="262">
        <v>7.4000000000000001E-8</v>
      </c>
      <c r="M29" s="262">
        <v>8.5199999999999995E-8</v>
      </c>
      <c r="N29" s="262">
        <v>1.0700000000000001E-7</v>
      </c>
      <c r="O29" s="262">
        <v>1.4000000000000001E-7</v>
      </c>
      <c r="P29" s="203">
        <f t="shared" si="9"/>
        <v>7.0914285714285716E-8</v>
      </c>
      <c r="Q29" s="200">
        <f t="shared" si="7"/>
        <v>3.0360856269113152E-11</v>
      </c>
      <c r="R29" s="267">
        <f t="shared" si="2"/>
        <v>9.6285000000000005E-8</v>
      </c>
      <c r="S29" s="276">
        <v>7.3500000000000003E-8</v>
      </c>
      <c r="T29" s="200">
        <f t="shared" si="8"/>
        <v>4.034028540065862E-11</v>
      </c>
      <c r="U29" s="270"/>
      <c r="V29" s="201"/>
      <c r="W29">
        <v>1</v>
      </c>
    </row>
    <row r="30" spans="1:23" ht="12.75" customHeight="1" x14ac:dyDescent="0.25">
      <c r="A30" s="196" t="s">
        <v>270</v>
      </c>
      <c r="B30" s="199" t="s">
        <v>532</v>
      </c>
      <c r="C30" s="199" t="str">
        <f t="shared" si="0"/>
        <v>CO2_to_air</v>
      </c>
      <c r="D30" s="195">
        <v>24.8</v>
      </c>
      <c r="E30" s="195">
        <v>24.8</v>
      </c>
      <c r="F30" s="195">
        <v>24.8</v>
      </c>
      <c r="G30" s="203">
        <f t="shared" si="10"/>
        <v>24.8</v>
      </c>
      <c r="H30" s="200">
        <f t="shared" si="11"/>
        <v>1.0643776824034334E-2</v>
      </c>
      <c r="I30" s="268">
        <v>1.76</v>
      </c>
      <c r="J30" s="262">
        <v>1.76</v>
      </c>
      <c r="K30" s="262">
        <v>1.76</v>
      </c>
      <c r="L30" s="262">
        <v>1.76</v>
      </c>
      <c r="M30" s="262">
        <v>1.76</v>
      </c>
      <c r="N30" s="262">
        <v>1.76</v>
      </c>
      <c r="O30" s="262">
        <v>1.76</v>
      </c>
      <c r="P30" s="203">
        <f t="shared" si="9"/>
        <v>1.76</v>
      </c>
      <c r="Q30" s="200">
        <f t="shared" si="7"/>
        <v>7.5351681957186542E-4</v>
      </c>
      <c r="R30" s="267">
        <f t="shared" si="2"/>
        <v>10.3752</v>
      </c>
      <c r="S30" s="276">
        <v>7.92</v>
      </c>
      <c r="T30" s="200">
        <f t="shared" si="8"/>
        <v>4.3468715697036224E-3</v>
      </c>
      <c r="U30" s="270"/>
      <c r="V30" s="201"/>
      <c r="W30">
        <v>1</v>
      </c>
    </row>
    <row r="31" spans="1:23" ht="12.75" customHeight="1" x14ac:dyDescent="0.25">
      <c r="A31" s="196" t="s">
        <v>271</v>
      </c>
      <c r="C31" s="199"/>
      <c r="D31" s="195">
        <v>24.8</v>
      </c>
      <c r="E31" s="195">
        <v>24.8</v>
      </c>
      <c r="F31" s="195">
        <v>24.8</v>
      </c>
      <c r="G31" s="203">
        <f t="shared" si="10"/>
        <v>24.8</v>
      </c>
      <c r="H31" s="202">
        <f t="shared" si="11"/>
        <v>1.0643776824034334E-2</v>
      </c>
      <c r="I31" s="268">
        <v>1.76</v>
      </c>
      <c r="J31" s="262">
        <v>1.76</v>
      </c>
      <c r="K31" s="262">
        <v>1.76</v>
      </c>
      <c r="L31" s="262">
        <v>1.76</v>
      </c>
      <c r="M31" s="262">
        <v>1.76</v>
      </c>
      <c r="N31" s="262">
        <v>1.76</v>
      </c>
      <c r="O31" s="262">
        <v>1.76</v>
      </c>
      <c r="P31" s="203">
        <f t="shared" si="9"/>
        <v>1.76</v>
      </c>
      <c r="Q31" s="202">
        <f t="shared" si="7"/>
        <v>7.5351681957186542E-4</v>
      </c>
      <c r="R31" s="267">
        <f t="shared" si="2"/>
        <v>10.3752</v>
      </c>
      <c r="S31" s="276">
        <v>7.92</v>
      </c>
      <c r="T31" s="202">
        <f t="shared" si="8"/>
        <v>4.3468715697036224E-3</v>
      </c>
      <c r="U31" s="270">
        <v>2</v>
      </c>
      <c r="V31" s="204" t="s">
        <v>507</v>
      </c>
      <c r="W31">
        <v>1</v>
      </c>
    </row>
    <row r="32" spans="1:23" ht="12.75" customHeight="1" x14ac:dyDescent="0.25">
      <c r="A32" s="199" t="s">
        <v>272</v>
      </c>
      <c r="B32" s="199" t="s">
        <v>533</v>
      </c>
      <c r="C32" s="199" t="str">
        <f t="shared" si="0"/>
        <v>CO_to_air</v>
      </c>
      <c r="D32" s="195">
        <v>9.11E-2</v>
      </c>
      <c r="E32" s="195">
        <v>9.11E-2</v>
      </c>
      <c r="F32" s="195">
        <v>9.11E-2</v>
      </c>
      <c r="G32" s="203">
        <f t="shared" si="10"/>
        <v>9.11E-2</v>
      </c>
      <c r="H32" s="200">
        <f t="shared" si="11"/>
        <v>3.9098712446351931E-5</v>
      </c>
      <c r="I32" s="268">
        <v>6.5899999999999997E-4</v>
      </c>
      <c r="J32" s="262">
        <v>6.5899999999999997E-4</v>
      </c>
      <c r="K32" s="262">
        <v>6.5899999999999997E-4</v>
      </c>
      <c r="L32" s="262">
        <v>6.5899999999999997E-4</v>
      </c>
      <c r="M32" s="262">
        <v>6.5899999999999997E-4</v>
      </c>
      <c r="N32" s="262">
        <v>6.5899999999999997E-4</v>
      </c>
      <c r="O32" s="262">
        <v>6.5899999999999997E-4</v>
      </c>
      <c r="P32" s="203">
        <f t="shared" si="9"/>
        <v>6.5899999999999997E-4</v>
      </c>
      <c r="Q32" s="200">
        <f t="shared" si="7"/>
        <v>2.8214067278287461E-7</v>
      </c>
      <c r="R32" s="267">
        <f t="shared" si="2"/>
        <v>7.1525999999999985E-3</v>
      </c>
      <c r="S32" s="276">
        <v>5.4599999999999996E-3</v>
      </c>
      <c r="T32" s="200">
        <f t="shared" si="8"/>
        <v>2.9967069154774969E-6</v>
      </c>
      <c r="U32" s="270"/>
      <c r="V32" s="201"/>
      <c r="W32">
        <v>1</v>
      </c>
    </row>
    <row r="33" spans="1:23" ht="12.75" customHeight="1" x14ac:dyDescent="0.25">
      <c r="A33" s="199" t="s">
        <v>273</v>
      </c>
      <c r="B33" s="199" t="s">
        <v>534</v>
      </c>
      <c r="C33" s="199" t="str">
        <f t="shared" si="0"/>
        <v>Cr_to_air</v>
      </c>
      <c r="D33" s="195">
        <v>1.4100000000000001E-6</v>
      </c>
      <c r="E33" s="195">
        <v>1.5E-6</v>
      </c>
      <c r="F33" s="195">
        <v>1.4500000000000001E-6</v>
      </c>
      <c r="G33" s="203">
        <f t="shared" si="10"/>
        <v>1.4533333333333335E-6</v>
      </c>
      <c r="H33" s="200">
        <f t="shared" si="11"/>
        <v>6.2374821173104441E-10</v>
      </c>
      <c r="I33" s="268">
        <v>1.28E-6</v>
      </c>
      <c r="J33" s="262">
        <v>1.2899999999999999E-6</v>
      </c>
      <c r="K33" s="262">
        <v>1.2500000000000001E-6</v>
      </c>
      <c r="L33" s="262">
        <v>1.28E-6</v>
      </c>
      <c r="M33" s="262">
        <v>1.2899999999999999E-6</v>
      </c>
      <c r="N33" s="262">
        <v>1.3E-6</v>
      </c>
      <c r="O33" s="262">
        <v>1.3200000000000001E-6</v>
      </c>
      <c r="P33" s="203">
        <f t="shared" si="9"/>
        <v>1.2871428571428573E-6</v>
      </c>
      <c r="Q33" s="200">
        <f t="shared" si="7"/>
        <v>5.510703363914373E-10</v>
      </c>
      <c r="R33" s="267">
        <f t="shared" si="2"/>
        <v>1.3754999999999998E-6</v>
      </c>
      <c r="S33" s="276">
        <v>1.0499999999999999E-6</v>
      </c>
      <c r="T33" s="200">
        <f t="shared" si="8"/>
        <v>5.7628979143798016E-10</v>
      </c>
      <c r="U33" s="270"/>
      <c r="V33" s="201"/>
      <c r="W33">
        <v>1</v>
      </c>
    </row>
    <row r="34" spans="1:23" ht="12.75" customHeight="1" x14ac:dyDescent="0.25">
      <c r="A34" s="199" t="s">
        <v>274</v>
      </c>
      <c r="B34" s="199" t="s">
        <v>535</v>
      </c>
      <c r="C34" s="199" t="str">
        <f t="shared" si="0"/>
        <v>Cob_to_air</v>
      </c>
      <c r="D34" s="195">
        <v>1.2299999999999999E-8</v>
      </c>
      <c r="E34" s="195">
        <v>1.2299999999999999E-8</v>
      </c>
      <c r="F34" s="195">
        <v>1.2299999999999999E-8</v>
      </c>
      <c r="G34" s="203">
        <f t="shared" si="10"/>
        <v>1.2299999999999999E-8</v>
      </c>
      <c r="H34" s="200">
        <f t="shared" si="11"/>
        <v>5.278969957081545E-12</v>
      </c>
      <c r="I34" s="268">
        <v>3.9399999999999998E-10</v>
      </c>
      <c r="J34" s="262">
        <v>3.9399999999999998E-10</v>
      </c>
      <c r="K34" s="262">
        <v>3.9399999999999998E-10</v>
      </c>
      <c r="L34" s="262">
        <v>3.9399999999999998E-10</v>
      </c>
      <c r="M34" s="262">
        <v>3.9399999999999998E-10</v>
      </c>
      <c r="N34" s="262">
        <v>3.9399999999999998E-10</v>
      </c>
      <c r="O34" s="262">
        <v>3.9399999999999998E-10</v>
      </c>
      <c r="P34" s="203">
        <f t="shared" si="9"/>
        <v>3.9400000000000004E-10</v>
      </c>
      <c r="Q34" s="200">
        <f t="shared" si="7"/>
        <v>1.6868501529051988E-13</v>
      </c>
      <c r="R34" s="267">
        <f t="shared" si="2"/>
        <v>7.1132999999999994E-9</v>
      </c>
      <c r="S34" s="276">
        <v>5.4299999999999997E-9</v>
      </c>
      <c r="T34" s="200">
        <f t="shared" si="8"/>
        <v>2.9802414928649835E-12</v>
      </c>
      <c r="U34" s="270"/>
      <c r="V34" s="201"/>
      <c r="W34">
        <v>1</v>
      </c>
    </row>
    <row r="35" spans="1:23" ht="12.75" customHeight="1" x14ac:dyDescent="0.25">
      <c r="A35" s="199" t="s">
        <v>259</v>
      </c>
      <c r="B35" s="196" t="s">
        <v>536</v>
      </c>
      <c r="C35" s="199" t="str">
        <f t="shared" si="0"/>
        <v>Cu_to_air</v>
      </c>
      <c r="D35" s="195">
        <v>2.4900000000000001E-8</v>
      </c>
      <c r="E35" s="195">
        <v>2.4900000000000001E-8</v>
      </c>
      <c r="F35" s="195">
        <v>2.4900000000000001E-8</v>
      </c>
      <c r="G35" s="203">
        <f t="shared" si="10"/>
        <v>2.4900000000000001E-8</v>
      </c>
      <c r="H35" s="200">
        <f t="shared" si="11"/>
        <v>1.0686695278969958E-11</v>
      </c>
      <c r="I35" s="268">
        <v>4.3399999999999998E-8</v>
      </c>
      <c r="J35" s="262">
        <v>4.3399999999999998E-8</v>
      </c>
      <c r="K35" s="262">
        <v>4.3399999999999998E-8</v>
      </c>
      <c r="L35" s="262">
        <v>4.3399999999999998E-8</v>
      </c>
      <c r="M35" s="262">
        <v>4.3399999999999998E-8</v>
      </c>
      <c r="N35" s="262">
        <v>4.3399999999999998E-8</v>
      </c>
      <c r="O35" s="262">
        <v>4.3399999999999998E-8</v>
      </c>
      <c r="P35" s="203">
        <f t="shared" si="9"/>
        <v>4.3399999999999992E-8</v>
      </c>
      <c r="Q35" s="200">
        <f t="shared" si="7"/>
        <v>1.8581039755351677E-11</v>
      </c>
      <c r="R35" s="267">
        <f t="shared" si="2"/>
        <v>0</v>
      </c>
      <c r="S35" s="276">
        <v>0</v>
      </c>
      <c r="T35" s="200">
        <f t="shared" si="8"/>
        <v>0</v>
      </c>
      <c r="U35" s="270"/>
      <c r="V35" s="201"/>
      <c r="W35">
        <v>1</v>
      </c>
    </row>
    <row r="36" spans="1:23" ht="12.75" customHeight="1" x14ac:dyDescent="0.25">
      <c r="A36" s="199" t="s">
        <v>275</v>
      </c>
      <c r="C36" s="199"/>
      <c r="D36" s="195">
        <v>4.1599999999999999E-13</v>
      </c>
      <c r="E36" s="195">
        <v>4.1599999999999999E-13</v>
      </c>
      <c r="F36" s="195">
        <v>4.1599999999999999E-13</v>
      </c>
      <c r="G36" s="203">
        <f t="shared" si="10"/>
        <v>4.1599999999999999E-13</v>
      </c>
      <c r="H36" s="202">
        <f t="shared" si="11"/>
        <v>1.7854077253218885E-16</v>
      </c>
      <c r="I36" s="268">
        <v>7.2300000000000005E-13</v>
      </c>
      <c r="J36" s="262">
        <v>7.2300000000000005E-13</v>
      </c>
      <c r="K36" s="262">
        <v>7.2300000000000005E-13</v>
      </c>
      <c r="L36" s="262">
        <v>7.2300000000000005E-13</v>
      </c>
      <c r="M36" s="262">
        <v>7.2300000000000005E-13</v>
      </c>
      <c r="N36" s="262">
        <v>7.2300000000000005E-13</v>
      </c>
      <c r="O36" s="262">
        <v>7.2300000000000005E-13</v>
      </c>
      <c r="P36" s="203">
        <f t="shared" si="9"/>
        <v>7.2300000000000005E-13</v>
      </c>
      <c r="Q36" s="202">
        <f t="shared" si="7"/>
        <v>3.0954128440366973E-16</v>
      </c>
      <c r="R36" s="267">
        <f t="shared" si="2"/>
        <v>0</v>
      </c>
      <c r="S36" s="276">
        <v>0</v>
      </c>
      <c r="T36" s="202">
        <f t="shared" si="8"/>
        <v>0</v>
      </c>
      <c r="U36" s="270">
        <v>3</v>
      </c>
      <c r="V36" s="201" t="s">
        <v>303</v>
      </c>
      <c r="W36">
        <v>1</v>
      </c>
    </row>
    <row r="37" spans="1:23" ht="12.75" customHeight="1" x14ac:dyDescent="0.25">
      <c r="A37" s="199" t="s">
        <v>276</v>
      </c>
      <c r="B37" s="196" t="s">
        <v>537</v>
      </c>
      <c r="C37" s="199" t="str">
        <f t="shared" si="0"/>
        <v>Form_air</v>
      </c>
      <c r="D37" s="195">
        <v>1.1E-5</v>
      </c>
      <c r="E37" s="195">
        <v>1.1E-5</v>
      </c>
      <c r="F37" s="195">
        <v>1.1E-5</v>
      </c>
      <c r="G37" s="329">
        <f t="shared" si="10"/>
        <v>1.1000000000000001E-5</v>
      </c>
      <c r="H37" s="329">
        <f t="shared" si="11"/>
        <v>4.7210300429184557E-9</v>
      </c>
      <c r="I37" s="268">
        <v>3.5199999999999998E-7</v>
      </c>
      <c r="J37" s="262">
        <v>3.5199999999999998E-7</v>
      </c>
      <c r="K37" s="262">
        <v>3.5199999999999998E-7</v>
      </c>
      <c r="L37" s="262">
        <v>3.5199999999999998E-7</v>
      </c>
      <c r="M37" s="262">
        <v>3.5199999999999998E-7</v>
      </c>
      <c r="N37" s="262">
        <v>3.5199999999999998E-7</v>
      </c>
      <c r="O37" s="262">
        <v>3.5199999999999998E-7</v>
      </c>
      <c r="P37" s="329">
        <f t="shared" si="9"/>
        <v>3.5199999999999992E-7</v>
      </c>
      <c r="Q37" s="329">
        <f t="shared" si="7"/>
        <v>1.5070336391437304E-10</v>
      </c>
      <c r="R37" s="267">
        <f t="shared" si="2"/>
        <v>6.3535000000000002E-6</v>
      </c>
      <c r="S37" s="330">
        <v>4.8500000000000002E-6</v>
      </c>
      <c r="T37" s="329">
        <f t="shared" si="8"/>
        <v>2.6619099890230518E-9</v>
      </c>
      <c r="U37" s="270">
        <v>1</v>
      </c>
      <c r="V37" s="204" t="s">
        <v>508</v>
      </c>
      <c r="W37">
        <v>1</v>
      </c>
    </row>
    <row r="38" spans="1:23" ht="12.75" customHeight="1" x14ac:dyDescent="0.25">
      <c r="A38" s="199" t="s">
        <v>277</v>
      </c>
      <c r="B38" s="199" t="s">
        <v>538</v>
      </c>
      <c r="C38" s="199" t="str">
        <f t="shared" si="0"/>
        <v>HCl_to_air</v>
      </c>
      <c r="D38" s="195">
        <v>2.0999999999999999E-5</v>
      </c>
      <c r="E38" s="195">
        <v>2.0999999999999999E-5</v>
      </c>
      <c r="F38" s="195">
        <v>2.0999999999999999E-5</v>
      </c>
      <c r="G38" s="203">
        <f t="shared" si="10"/>
        <v>2.0999999999999999E-5</v>
      </c>
      <c r="H38" s="200">
        <f t="shared" si="11"/>
        <v>9.012875536480686E-9</v>
      </c>
      <c r="I38" s="268">
        <v>3.65E-5</v>
      </c>
      <c r="J38" s="262">
        <v>3.65E-5</v>
      </c>
      <c r="K38" s="262">
        <v>3.65E-5</v>
      </c>
      <c r="L38" s="262">
        <v>3.65E-5</v>
      </c>
      <c r="M38" s="262">
        <v>3.65E-5</v>
      </c>
      <c r="N38" s="262">
        <v>3.65E-5</v>
      </c>
      <c r="O38" s="262">
        <v>3.65E-5</v>
      </c>
      <c r="P38" s="203">
        <f t="shared" si="9"/>
        <v>3.65E-5</v>
      </c>
      <c r="Q38" s="200">
        <f t="shared" si="7"/>
        <v>1.5626911314984709E-8</v>
      </c>
      <c r="R38" s="267">
        <f t="shared" si="2"/>
        <v>0</v>
      </c>
      <c r="S38" s="276">
        <v>0</v>
      </c>
      <c r="T38" s="200">
        <f t="shared" si="8"/>
        <v>0</v>
      </c>
      <c r="U38" s="270"/>
      <c r="V38" s="201"/>
      <c r="W38">
        <v>1</v>
      </c>
    </row>
    <row r="39" spans="1:23" ht="12.75" customHeight="1" x14ac:dyDescent="0.25">
      <c r="A39" s="199" t="s">
        <v>278</v>
      </c>
      <c r="B39" s="199" t="s">
        <v>539</v>
      </c>
      <c r="C39" s="199" t="str">
        <f t="shared" si="0"/>
        <v>Pb_to_air</v>
      </c>
      <c r="D39" s="195">
        <v>5.4600000000000005E-7</v>
      </c>
      <c r="E39" s="195">
        <v>5.8400000000000004E-7</v>
      </c>
      <c r="F39" s="195">
        <v>5.6300000000000005E-7</v>
      </c>
      <c r="G39" s="203">
        <f t="shared" si="10"/>
        <v>5.6433333333333334E-7</v>
      </c>
      <c r="H39" s="200">
        <f t="shared" si="11"/>
        <v>2.4220314735336193E-10</v>
      </c>
      <c r="I39" s="268">
        <v>5.2699999999999999E-7</v>
      </c>
      <c r="J39" s="262">
        <v>5.2699999999999999E-7</v>
      </c>
      <c r="K39" s="262">
        <v>5.1600000000000001E-7</v>
      </c>
      <c r="L39" s="262">
        <v>5.2699999999999999E-7</v>
      </c>
      <c r="M39" s="262">
        <v>5.3000000000000001E-7</v>
      </c>
      <c r="N39" s="262">
        <v>5.3600000000000004E-7</v>
      </c>
      <c r="O39" s="262">
        <v>5.44E-7</v>
      </c>
      <c r="P39" s="203">
        <f t="shared" si="9"/>
        <v>5.2957142857142864E-7</v>
      </c>
      <c r="Q39" s="200">
        <f t="shared" si="7"/>
        <v>2.2672782874617739E-10</v>
      </c>
      <c r="R39" s="267">
        <f t="shared" si="2"/>
        <v>5.0303999999999993E-7</v>
      </c>
      <c r="S39" s="276">
        <v>3.84E-7</v>
      </c>
      <c r="T39" s="200">
        <f t="shared" si="8"/>
        <v>2.1075740944017563E-10</v>
      </c>
      <c r="U39" s="270"/>
      <c r="V39" s="201"/>
      <c r="W39">
        <v>1</v>
      </c>
    </row>
    <row r="40" spans="1:23" ht="12.75" customHeight="1" x14ac:dyDescent="0.25">
      <c r="A40" s="199" t="s">
        <v>279</v>
      </c>
      <c r="B40" s="199" t="s">
        <v>540</v>
      </c>
      <c r="C40" s="199" t="str">
        <f t="shared" si="0"/>
        <v>Mn_to_air</v>
      </c>
      <c r="D40" s="195">
        <v>8.5799999999999992E-6</v>
      </c>
      <c r="E40" s="195">
        <v>9.0499999999999997E-6</v>
      </c>
      <c r="F40" s="195">
        <v>8.9199999999999993E-6</v>
      </c>
      <c r="G40" s="203">
        <f t="shared" si="10"/>
        <v>8.85E-6</v>
      </c>
      <c r="H40" s="200">
        <f t="shared" si="11"/>
        <v>3.7982832618025749E-9</v>
      </c>
      <c r="I40" s="268">
        <v>9.0399999999999998E-6</v>
      </c>
      <c r="J40" s="262">
        <v>9.0499999999999997E-6</v>
      </c>
      <c r="K40" s="262">
        <v>8.8200000000000003E-6</v>
      </c>
      <c r="L40" s="262">
        <v>8.8200000000000003E-6</v>
      </c>
      <c r="M40" s="262">
        <v>8.8200000000000003E-6</v>
      </c>
      <c r="N40" s="262">
        <v>8.8300000000000002E-6</v>
      </c>
      <c r="O40" s="262">
        <v>8.8300000000000002E-6</v>
      </c>
      <c r="P40" s="203">
        <f t="shared" si="9"/>
        <v>8.887142857142858E-6</v>
      </c>
      <c r="Q40" s="200">
        <f t="shared" si="7"/>
        <v>3.8048929663608564E-9</v>
      </c>
      <c r="R40" s="267">
        <f t="shared" si="2"/>
        <v>9.0651999999999992E-6</v>
      </c>
      <c r="S40" s="276">
        <v>6.9199999999999998E-6</v>
      </c>
      <c r="T40" s="200">
        <f t="shared" si="8"/>
        <v>3.7980241492864986E-9</v>
      </c>
      <c r="U40" s="270"/>
      <c r="V40" s="201"/>
      <c r="W40">
        <v>1</v>
      </c>
    </row>
    <row r="41" spans="1:23" ht="12.75" customHeight="1" x14ac:dyDescent="0.25">
      <c r="A41" s="199" t="s">
        <v>280</v>
      </c>
      <c r="B41" s="199" t="s">
        <v>541</v>
      </c>
      <c r="C41" s="199" t="str">
        <f t="shared" si="0"/>
        <v>Hg_to_air</v>
      </c>
      <c r="D41" s="195">
        <v>5.0500000000000002E-8</v>
      </c>
      <c r="E41" s="195">
        <v>5.0500000000000002E-8</v>
      </c>
      <c r="F41" s="195">
        <v>5.0500000000000002E-8</v>
      </c>
      <c r="G41" s="203">
        <f t="shared" si="10"/>
        <v>5.0500000000000002E-8</v>
      </c>
      <c r="H41" s="200">
        <f t="shared" si="11"/>
        <v>2.1673819742489272E-11</v>
      </c>
      <c r="I41" s="268">
        <v>2.29E-8</v>
      </c>
      <c r="J41" s="262">
        <v>2.29E-8</v>
      </c>
      <c r="K41" s="262">
        <v>2.29E-8</v>
      </c>
      <c r="L41" s="262">
        <v>2.29E-8</v>
      </c>
      <c r="M41" s="262">
        <v>2.29E-8</v>
      </c>
      <c r="N41" s="262">
        <v>2.29E-8</v>
      </c>
      <c r="O41" s="262">
        <v>2.29E-8</v>
      </c>
      <c r="P41" s="203">
        <f t="shared" si="9"/>
        <v>2.29E-8</v>
      </c>
      <c r="Q41" s="200">
        <f t="shared" si="7"/>
        <v>9.8042813455657488E-12</v>
      </c>
      <c r="R41" s="267">
        <f t="shared" si="2"/>
        <v>2.2008000000000001E-8</v>
      </c>
      <c r="S41" s="276">
        <v>1.6800000000000002E-8</v>
      </c>
      <c r="T41" s="200">
        <f t="shared" si="8"/>
        <v>9.220636663007684E-12</v>
      </c>
      <c r="U41" s="270"/>
      <c r="V41" s="201"/>
      <c r="W41">
        <v>1</v>
      </c>
    </row>
    <row r="42" spans="1:23" ht="12.75" customHeight="1" x14ac:dyDescent="0.25">
      <c r="A42" s="196" t="s">
        <v>281</v>
      </c>
      <c r="B42" s="199" t="s">
        <v>542</v>
      </c>
      <c r="C42" s="199" t="str">
        <f t="shared" si="0"/>
        <v>CH4_to_air</v>
      </c>
      <c r="D42" s="195">
        <v>5.3499999999999999E-4</v>
      </c>
      <c r="E42" s="195">
        <v>5.3499999999999999E-4</v>
      </c>
      <c r="F42" s="195">
        <v>5.3499999999999999E-4</v>
      </c>
      <c r="G42" s="203">
        <f t="shared" si="10"/>
        <v>5.3499999999999999E-4</v>
      </c>
      <c r="H42" s="200">
        <f t="shared" si="11"/>
        <v>2.2961373390557941E-7</v>
      </c>
      <c r="I42" s="268">
        <v>1.3200000000000001E-5</v>
      </c>
      <c r="J42" s="262">
        <v>1.3200000000000001E-5</v>
      </c>
      <c r="K42" s="262">
        <v>1.3200000000000001E-5</v>
      </c>
      <c r="L42" s="262">
        <v>1.3200000000000001E-5</v>
      </c>
      <c r="M42" s="262">
        <v>1.3200000000000001E-5</v>
      </c>
      <c r="N42" s="262">
        <v>1.3200000000000001E-5</v>
      </c>
      <c r="O42" s="262">
        <v>1.3200000000000001E-5</v>
      </c>
      <c r="P42" s="203">
        <f t="shared" si="9"/>
        <v>1.3199999999999999E-5</v>
      </c>
      <c r="Q42" s="200">
        <f t="shared" si="7"/>
        <v>5.6513761467889903E-9</v>
      </c>
      <c r="R42" s="267">
        <f t="shared" si="2"/>
        <v>1.8995000000000001E-4</v>
      </c>
      <c r="S42" s="276">
        <v>1.45E-4</v>
      </c>
      <c r="T42" s="200">
        <f t="shared" si="8"/>
        <v>7.958287596048298E-8</v>
      </c>
      <c r="U42" s="270"/>
      <c r="V42" s="201"/>
      <c r="W42">
        <v>1</v>
      </c>
    </row>
    <row r="43" spans="1:23" ht="12.75" customHeight="1" x14ac:dyDescent="0.25">
      <c r="A43" s="199" t="s">
        <v>282</v>
      </c>
      <c r="C43" s="199"/>
      <c r="D43" s="195">
        <v>1.3400000000000001E-7</v>
      </c>
      <c r="E43" s="195">
        <v>1.3400000000000001E-7</v>
      </c>
      <c r="F43" s="195">
        <v>1.3400000000000001E-7</v>
      </c>
      <c r="G43" s="203">
        <f t="shared" si="10"/>
        <v>1.3400000000000001E-7</v>
      </c>
      <c r="H43" s="202">
        <f t="shared" si="11"/>
        <v>5.7510729613733911E-11</v>
      </c>
      <c r="I43" s="268">
        <v>2.3300000000000001E-7</v>
      </c>
      <c r="J43" s="262">
        <v>2.3300000000000001E-7</v>
      </c>
      <c r="K43" s="262">
        <v>2.3300000000000001E-7</v>
      </c>
      <c r="L43" s="262">
        <v>2.3300000000000001E-7</v>
      </c>
      <c r="M43" s="262">
        <v>2.3300000000000001E-7</v>
      </c>
      <c r="N43" s="262">
        <v>2.3300000000000001E-7</v>
      </c>
      <c r="O43" s="262">
        <v>2.3300000000000001E-7</v>
      </c>
      <c r="P43" s="203">
        <f t="shared" si="9"/>
        <v>2.3299999999999998E-7</v>
      </c>
      <c r="Q43" s="202">
        <f t="shared" si="7"/>
        <v>9.9755351681957176E-11</v>
      </c>
      <c r="R43" s="267">
        <f t="shared" si="2"/>
        <v>0</v>
      </c>
      <c r="S43" s="276">
        <v>0</v>
      </c>
      <c r="T43" s="202">
        <f t="shared" si="8"/>
        <v>0</v>
      </c>
      <c r="U43" s="270">
        <v>1</v>
      </c>
      <c r="V43" s="201"/>
      <c r="W43">
        <v>1</v>
      </c>
    </row>
    <row r="44" spans="1:23" ht="12.75" customHeight="1" x14ac:dyDescent="0.25">
      <c r="A44" s="199" t="s">
        <v>283</v>
      </c>
      <c r="C44" s="199"/>
      <c r="D44" s="195">
        <v>8.9299999999999999E-8</v>
      </c>
      <c r="E44" s="195">
        <v>8.9299999999999999E-8</v>
      </c>
      <c r="F44" s="195">
        <v>8.9299999999999999E-8</v>
      </c>
      <c r="G44" s="203">
        <f t="shared" si="10"/>
        <v>8.9299999999999999E-8</v>
      </c>
      <c r="H44" s="202">
        <f t="shared" si="11"/>
        <v>3.8326180257510731E-11</v>
      </c>
      <c r="I44" s="268">
        <v>2.86E-9</v>
      </c>
      <c r="J44" s="262">
        <v>2.86E-9</v>
      </c>
      <c r="K44" s="262">
        <v>2.86E-9</v>
      </c>
      <c r="L44" s="262">
        <v>2.86E-9</v>
      </c>
      <c r="M44" s="262">
        <v>2.86E-9</v>
      </c>
      <c r="N44" s="262">
        <v>2.86E-9</v>
      </c>
      <c r="O44" s="262">
        <v>2.86E-9</v>
      </c>
      <c r="P44" s="203">
        <f t="shared" si="9"/>
        <v>2.86E-9</v>
      </c>
      <c r="Q44" s="202">
        <f t="shared" si="7"/>
        <v>1.2244648318042813E-12</v>
      </c>
      <c r="R44" s="267">
        <f t="shared" si="2"/>
        <v>5.1614000000000001E-8</v>
      </c>
      <c r="S44" s="276">
        <v>3.9400000000000002E-8</v>
      </c>
      <c r="T44" s="202">
        <f t="shared" si="8"/>
        <v>2.1624588364434689E-11</v>
      </c>
      <c r="U44" s="270">
        <v>1</v>
      </c>
      <c r="V44" s="201"/>
      <c r="W44">
        <v>1</v>
      </c>
    </row>
    <row r="45" spans="1:23" ht="12.75" customHeight="1" x14ac:dyDescent="0.25">
      <c r="A45" s="199" t="s">
        <v>284</v>
      </c>
      <c r="B45" s="199" t="s">
        <v>543</v>
      </c>
      <c r="C45" s="199" t="str">
        <f t="shared" si="0"/>
        <v>Ni_to_air</v>
      </c>
      <c r="D45" s="195">
        <v>1.79E-6</v>
      </c>
      <c r="E45" s="195">
        <v>1.9300000000000002E-6</v>
      </c>
      <c r="F45" s="195">
        <v>1.84E-6</v>
      </c>
      <c r="G45" s="203">
        <f t="shared" si="10"/>
        <v>1.8533333333333333E-6</v>
      </c>
      <c r="H45" s="200">
        <f t="shared" si="11"/>
        <v>7.9542203147353362E-10</v>
      </c>
      <c r="I45" s="268">
        <v>1.5799999999999999E-6</v>
      </c>
      <c r="J45" s="262">
        <v>1.5799999999999999E-6</v>
      </c>
      <c r="K45" s="262">
        <v>1.5400000000000001E-6</v>
      </c>
      <c r="L45" s="262">
        <v>1.59E-6</v>
      </c>
      <c r="M45" s="262">
        <v>1.5999999999999999E-6</v>
      </c>
      <c r="N45" s="262">
        <v>1.6300000000000001E-6</v>
      </c>
      <c r="O45" s="262">
        <v>1.6700000000000001E-6</v>
      </c>
      <c r="P45" s="203">
        <f t="shared" si="9"/>
        <v>1.5985714285714285E-6</v>
      </c>
      <c r="Q45" s="200">
        <f t="shared" si="7"/>
        <v>6.8440366972477059E-10</v>
      </c>
      <c r="R45" s="267">
        <f t="shared" si="2"/>
        <v>1.7292000000000001E-6</v>
      </c>
      <c r="S45" s="276">
        <v>1.3200000000000001E-6</v>
      </c>
      <c r="T45" s="200">
        <f t="shared" si="8"/>
        <v>7.2447859495060378E-10</v>
      </c>
      <c r="U45" s="270"/>
      <c r="V45" s="201"/>
      <c r="W45">
        <v>1</v>
      </c>
    </row>
    <row r="46" spans="1:23" ht="12.75" customHeight="1" x14ac:dyDescent="0.25">
      <c r="A46" s="199" t="s">
        <v>285</v>
      </c>
      <c r="C46" s="199" t="e">
        <f t="shared" si="0"/>
        <v>#VALUE!</v>
      </c>
      <c r="D46" s="195">
        <v>5.9999999999999995E-4</v>
      </c>
      <c r="E46" s="195">
        <v>5.9999999999999995E-4</v>
      </c>
      <c r="F46" s="195">
        <v>5.9999999999999995E-4</v>
      </c>
      <c r="G46" s="203">
        <f t="shared" si="10"/>
        <v>5.9999999999999995E-4</v>
      </c>
      <c r="H46" s="202">
        <f t="shared" si="11"/>
        <v>2.575107296137339E-7</v>
      </c>
      <c r="I46" s="268">
        <v>1.63E-5</v>
      </c>
      <c r="J46" s="262">
        <v>1.63E-5</v>
      </c>
      <c r="K46" s="262">
        <v>1.63E-5</v>
      </c>
      <c r="L46" s="262">
        <v>1.63E-5</v>
      </c>
      <c r="M46" s="262">
        <v>1.63E-5</v>
      </c>
      <c r="N46" s="262">
        <v>1.63E-5</v>
      </c>
      <c r="O46" s="262">
        <v>1.63E-5</v>
      </c>
      <c r="P46" s="203">
        <f t="shared" si="9"/>
        <v>1.63E-5</v>
      </c>
      <c r="Q46" s="202">
        <f t="shared" si="7"/>
        <v>6.9785932721712539E-9</v>
      </c>
      <c r="R46" s="267">
        <f t="shared" si="2"/>
        <v>1.8995000000000001E-4</v>
      </c>
      <c r="S46" s="276">
        <v>1.45E-4</v>
      </c>
      <c r="T46" s="202">
        <f t="shared" si="8"/>
        <v>7.958287596048298E-8</v>
      </c>
      <c r="U46" s="270"/>
      <c r="V46" s="201"/>
      <c r="W46">
        <v>1</v>
      </c>
    </row>
    <row r="47" spans="1:23" ht="12.75" customHeight="1" x14ac:dyDescent="0.25">
      <c r="A47" s="196" t="s">
        <v>286</v>
      </c>
      <c r="B47" s="199" t="s">
        <v>544</v>
      </c>
      <c r="C47" s="199" t="str">
        <f t="shared" si="0"/>
        <v>NOx_to_air</v>
      </c>
      <c r="D47" s="195">
        <v>2.69E-2</v>
      </c>
      <c r="E47" s="195">
        <v>2.69E-2</v>
      </c>
      <c r="F47" s="195">
        <v>2.69E-2</v>
      </c>
      <c r="G47" s="203">
        <f t="shared" si="10"/>
        <v>2.6899999999999997E-2</v>
      </c>
      <c r="H47" s="200">
        <f t="shared" si="11"/>
        <v>1.1545064377682402E-5</v>
      </c>
      <c r="I47" s="268">
        <v>1.72E-3</v>
      </c>
      <c r="J47" s="262">
        <v>1.72E-3</v>
      </c>
      <c r="K47" s="262">
        <v>1.72E-3</v>
      </c>
      <c r="L47" s="262">
        <v>1.72E-3</v>
      </c>
      <c r="M47" s="262">
        <v>1.72E-3</v>
      </c>
      <c r="N47" s="262">
        <v>1.72E-3</v>
      </c>
      <c r="O47" s="262">
        <v>1.72E-3</v>
      </c>
      <c r="P47" s="203">
        <f t="shared" si="9"/>
        <v>1.7199999999999997E-3</v>
      </c>
      <c r="Q47" s="200">
        <f t="shared" si="7"/>
        <v>7.3639143730886836E-7</v>
      </c>
      <c r="R47" s="267">
        <f t="shared" si="2"/>
        <v>8.5018999999999997E-3</v>
      </c>
      <c r="S47" s="276">
        <v>6.4900000000000001E-3</v>
      </c>
      <c r="T47" s="200">
        <f t="shared" si="8"/>
        <v>3.562019758507135E-6</v>
      </c>
      <c r="U47" s="270"/>
      <c r="V47" s="201"/>
      <c r="W47">
        <v>1</v>
      </c>
    </row>
    <row r="48" spans="1:23" ht="12.75" customHeight="1" x14ac:dyDescent="0.25">
      <c r="A48" s="199" t="s">
        <v>287</v>
      </c>
      <c r="C48" s="199"/>
      <c r="D48" s="195">
        <v>6.5100000000000002E-3</v>
      </c>
      <c r="E48" s="195">
        <v>6.5100000000000002E-3</v>
      </c>
      <c r="F48" s="195">
        <v>6.5100000000000002E-3</v>
      </c>
      <c r="G48" s="203">
        <f t="shared" si="10"/>
        <v>6.5099999999999993E-3</v>
      </c>
      <c r="H48" s="202">
        <f t="shared" si="11"/>
        <v>2.7939914163090125E-6</v>
      </c>
      <c r="I48" s="268">
        <v>2.0999999999999998E-6</v>
      </c>
      <c r="J48" s="262">
        <v>2.0999999999999998E-6</v>
      </c>
      <c r="K48" s="262">
        <v>2.0999999999999998E-6</v>
      </c>
      <c r="L48" s="262">
        <v>2.0999999999999998E-6</v>
      </c>
      <c r="M48" s="262">
        <v>2.0999999999999998E-6</v>
      </c>
      <c r="N48" s="262">
        <v>2.0999999999999998E-6</v>
      </c>
      <c r="O48" s="262">
        <v>2.0999999999999998E-6</v>
      </c>
      <c r="P48" s="203">
        <f t="shared" si="9"/>
        <v>2.0999999999999998E-6</v>
      </c>
      <c r="Q48" s="202">
        <f t="shared" si="7"/>
        <v>8.9908256880733939E-10</v>
      </c>
      <c r="R48" s="267">
        <f t="shared" si="2"/>
        <v>2.4758999999999998E-5</v>
      </c>
      <c r="S48" s="276">
        <v>1.8899999999999999E-5</v>
      </c>
      <c r="T48" s="202">
        <f t="shared" si="8"/>
        <v>1.0373216245883643E-8</v>
      </c>
      <c r="U48" s="270"/>
      <c r="V48" s="201"/>
      <c r="W48">
        <v>1</v>
      </c>
    </row>
    <row r="49" spans="1:23" ht="12.75" customHeight="1" x14ac:dyDescent="0.25">
      <c r="A49" s="199" t="s">
        <v>288</v>
      </c>
      <c r="C49" s="199"/>
      <c r="D49" s="195">
        <v>1.83E-2</v>
      </c>
      <c r="E49" s="195">
        <v>1.83E-2</v>
      </c>
      <c r="F49" s="195">
        <v>1.83E-2</v>
      </c>
      <c r="G49" s="203">
        <f t="shared" si="10"/>
        <v>1.83E-2</v>
      </c>
      <c r="H49" s="202">
        <f t="shared" si="11"/>
        <v>7.8540772532188838E-6</v>
      </c>
      <c r="I49" s="268">
        <v>1.7100000000000001E-2</v>
      </c>
      <c r="J49" s="262">
        <v>1.7100000000000001E-2</v>
      </c>
      <c r="K49" s="262">
        <v>1.7100000000000001E-2</v>
      </c>
      <c r="L49" s="262">
        <v>1.7100000000000001E-2</v>
      </c>
      <c r="M49" s="262">
        <v>1.7100000000000001E-2</v>
      </c>
      <c r="N49" s="262">
        <v>1.7100000000000001E-2</v>
      </c>
      <c r="O49" s="262">
        <v>1.7100000000000001E-2</v>
      </c>
      <c r="P49" s="203">
        <f t="shared" si="9"/>
        <v>1.7100000000000001E-2</v>
      </c>
      <c r="Q49" s="202">
        <f t="shared" si="7"/>
        <v>7.3211009174311931E-6</v>
      </c>
      <c r="R49" s="267">
        <f t="shared" si="2"/>
        <v>1.7684999999999999E-2</v>
      </c>
      <c r="S49" s="276">
        <v>1.35E-2</v>
      </c>
      <c r="T49" s="202">
        <f t="shared" si="8"/>
        <v>7.4094401756311745E-6</v>
      </c>
      <c r="U49" s="270"/>
      <c r="V49" s="201"/>
      <c r="W49">
        <v>1</v>
      </c>
    </row>
    <row r="50" spans="1:23" ht="12.75" customHeight="1" x14ac:dyDescent="0.25">
      <c r="A50" s="199" t="s">
        <v>289</v>
      </c>
      <c r="B50" s="199" t="s">
        <v>545</v>
      </c>
      <c r="C50" s="199" t="str">
        <f t="shared" si="0"/>
        <v>PM_to_air</v>
      </c>
      <c r="D50" s="195">
        <v>4.6899999999999997E-2</v>
      </c>
      <c r="E50" s="195">
        <v>4.6899999999999997E-2</v>
      </c>
      <c r="F50" s="195">
        <v>4.6899999999999997E-2</v>
      </c>
      <c r="G50" s="203">
        <f t="shared" si="10"/>
        <v>4.6899999999999997E-2</v>
      </c>
      <c r="H50" s="200">
        <f t="shared" si="11"/>
        <v>2.0128755364806865E-5</v>
      </c>
      <c r="I50" s="268">
        <v>4.6899999999999997E-2</v>
      </c>
      <c r="J50" s="262">
        <v>4.6899999999999997E-2</v>
      </c>
      <c r="K50" s="262">
        <v>4.6899999999999997E-2</v>
      </c>
      <c r="L50" s="262">
        <v>4.6899999999999997E-2</v>
      </c>
      <c r="M50" s="262">
        <v>4.6899999999999997E-2</v>
      </c>
      <c r="N50" s="262">
        <v>4.6899999999999997E-2</v>
      </c>
      <c r="O50" s="262">
        <v>4.6899999999999997E-2</v>
      </c>
      <c r="P50" s="203">
        <f t="shared" si="9"/>
        <v>4.6899999999999997E-2</v>
      </c>
      <c r="Q50" s="200">
        <f t="shared" si="7"/>
        <v>2.0079510703363912E-5</v>
      </c>
      <c r="R50" s="267">
        <f t="shared" si="2"/>
        <v>4.6898000000000002E-2</v>
      </c>
      <c r="S50" s="276">
        <v>3.5799999999999998E-2</v>
      </c>
      <c r="T50" s="200">
        <f t="shared" si="8"/>
        <v>1.9648737650933041E-5</v>
      </c>
      <c r="U50" s="270"/>
      <c r="V50" s="201"/>
      <c r="W50">
        <v>1</v>
      </c>
    </row>
    <row r="51" spans="1:23" ht="12.75" customHeight="1" x14ac:dyDescent="0.25">
      <c r="A51" s="199" t="s">
        <v>290</v>
      </c>
      <c r="B51" s="199" t="s">
        <v>553</v>
      </c>
      <c r="C51" s="199" t="str">
        <f t="shared" si="0"/>
        <v>Perch_air</v>
      </c>
      <c r="D51" s="195">
        <v>2.2900000000000002E-9</v>
      </c>
      <c r="E51" s="195">
        <v>2.2900000000000002E-9</v>
      </c>
      <c r="F51" s="195">
        <v>2.2900000000000002E-9</v>
      </c>
      <c r="G51" s="203">
        <f t="shared" si="10"/>
        <v>2.2900000000000002E-9</v>
      </c>
      <c r="H51" s="200">
        <f t="shared" si="11"/>
        <v>9.8283261802575113E-13</v>
      </c>
      <c r="I51" s="268">
        <v>3.9799999999999999E-9</v>
      </c>
      <c r="J51" s="262">
        <v>3.9799999999999999E-9</v>
      </c>
      <c r="K51" s="262">
        <v>3.9799999999999999E-9</v>
      </c>
      <c r="L51" s="262">
        <v>3.9799999999999999E-9</v>
      </c>
      <c r="M51" s="262">
        <v>3.9799999999999999E-9</v>
      </c>
      <c r="N51" s="262">
        <v>3.9799999999999999E-9</v>
      </c>
      <c r="O51" s="262">
        <v>3.9799999999999999E-9</v>
      </c>
      <c r="P51" s="203">
        <f t="shared" si="9"/>
        <v>3.9799999999999999E-9</v>
      </c>
      <c r="Q51" s="200">
        <f t="shared" si="7"/>
        <v>1.7039755351681956E-12</v>
      </c>
      <c r="R51" s="267">
        <f t="shared" si="2"/>
        <v>0</v>
      </c>
      <c r="S51" s="276">
        <v>0</v>
      </c>
      <c r="T51" s="200">
        <f t="shared" si="8"/>
        <v>0</v>
      </c>
      <c r="U51" s="270"/>
      <c r="V51" s="201"/>
      <c r="W51">
        <v>1</v>
      </c>
    </row>
    <row r="52" spans="1:23" ht="12.75" customHeight="1" x14ac:dyDescent="0.25">
      <c r="A52" s="199" t="s">
        <v>291</v>
      </c>
      <c r="C52" s="199"/>
      <c r="D52" s="195">
        <v>1.01E-7</v>
      </c>
      <c r="E52" s="195">
        <v>1.01E-7</v>
      </c>
      <c r="F52" s="195">
        <v>1.01E-7</v>
      </c>
      <c r="G52" s="203">
        <f t="shared" si="10"/>
        <v>1.01E-7</v>
      </c>
      <c r="H52" s="202">
        <f t="shared" si="11"/>
        <v>4.3347639484978544E-11</v>
      </c>
      <c r="I52" s="268">
        <v>1.7599999999999999E-7</v>
      </c>
      <c r="J52" s="262">
        <v>1.7599999999999999E-7</v>
      </c>
      <c r="K52" s="262">
        <v>1.7599999999999999E-7</v>
      </c>
      <c r="L52" s="262">
        <v>1.7599999999999999E-7</v>
      </c>
      <c r="M52" s="262">
        <v>1.7599999999999999E-7</v>
      </c>
      <c r="N52" s="262">
        <v>1.7599999999999999E-7</v>
      </c>
      <c r="O52" s="262">
        <v>1.7599999999999999E-7</v>
      </c>
      <c r="P52" s="203">
        <f t="shared" si="9"/>
        <v>1.7599999999999996E-7</v>
      </c>
      <c r="Q52" s="202">
        <f t="shared" si="7"/>
        <v>7.535168195718652E-11</v>
      </c>
      <c r="R52" s="267"/>
      <c r="S52" s="276"/>
      <c r="T52" s="202">
        <f>S52/S$9</f>
        <v>0</v>
      </c>
      <c r="U52" s="270">
        <v>1</v>
      </c>
      <c r="V52" s="204"/>
      <c r="W52">
        <v>1</v>
      </c>
    </row>
    <row r="53" spans="1:23" ht="12.75" customHeight="1" x14ac:dyDescent="0.25">
      <c r="A53" s="199" t="s">
        <v>292</v>
      </c>
      <c r="B53" s="199" t="s">
        <v>546</v>
      </c>
      <c r="C53" s="199" t="str">
        <f t="shared" si="0"/>
        <v>P_to_air</v>
      </c>
      <c r="D53" s="195">
        <v>4.1899999999999997E-6</v>
      </c>
      <c r="E53" s="195">
        <v>4.5199999999999999E-6</v>
      </c>
      <c r="F53" s="195">
        <v>4.3599999999999998E-6</v>
      </c>
      <c r="G53" s="203">
        <f t="shared" si="10"/>
        <v>4.3566666666666659E-6</v>
      </c>
      <c r="H53" s="200">
        <f t="shared" si="11"/>
        <v>1.8698140200286121E-9</v>
      </c>
      <c r="I53" s="268">
        <v>4.4399999999999998E-6</v>
      </c>
      <c r="J53" s="262">
        <v>4.4499999999999997E-6</v>
      </c>
      <c r="K53" s="262">
        <v>4.33E-6</v>
      </c>
      <c r="L53" s="262">
        <v>4.4100000000000001E-6</v>
      </c>
      <c r="M53" s="262">
        <v>4.4299999999999999E-6</v>
      </c>
      <c r="N53" s="262">
        <v>4.4700000000000004E-6</v>
      </c>
      <c r="O53" s="262">
        <v>4.5299999999999998E-6</v>
      </c>
      <c r="P53" s="203">
        <f t="shared" si="9"/>
        <v>4.4371428571428565E-6</v>
      </c>
      <c r="Q53" s="200">
        <f t="shared" si="7"/>
        <v>1.8996941896024462E-9</v>
      </c>
      <c r="R53" s="267">
        <f t="shared" si="2"/>
        <v>4.4671E-6</v>
      </c>
      <c r="S53" s="276">
        <v>3.41E-6</v>
      </c>
      <c r="T53" s="200">
        <f t="shared" si="8"/>
        <v>1.8715697036223929E-9</v>
      </c>
      <c r="U53" s="270"/>
      <c r="W53">
        <v>1</v>
      </c>
    </row>
    <row r="54" spans="1:23" ht="12.75" customHeight="1" x14ac:dyDescent="0.25">
      <c r="A54" s="199" t="s">
        <v>293</v>
      </c>
      <c r="B54" s="196" t="s">
        <v>547</v>
      </c>
      <c r="C54" s="199" t="str">
        <f t="shared" si="0"/>
        <v>RN_to_air</v>
      </c>
      <c r="D54" s="195">
        <v>2.6499999999999999E-2</v>
      </c>
      <c r="E54" s="195">
        <v>2.6499999999999999E-2</v>
      </c>
      <c r="F54" s="195">
        <v>2.6499999999999999E-2</v>
      </c>
      <c r="G54" s="203">
        <f t="shared" si="10"/>
        <v>2.6499999999999999E-2</v>
      </c>
      <c r="H54" s="200">
        <f t="shared" si="11"/>
        <v>1.1373390557939914E-5</v>
      </c>
      <c r="I54" s="268">
        <v>2.18E-2</v>
      </c>
      <c r="J54" s="262">
        <v>2.18E-2</v>
      </c>
      <c r="K54" s="262">
        <v>2.18E-2</v>
      </c>
      <c r="L54" s="262">
        <v>2.18E-2</v>
      </c>
      <c r="M54" s="262">
        <v>2.18E-2</v>
      </c>
      <c r="N54" s="262">
        <v>2.18E-2</v>
      </c>
      <c r="O54" s="262">
        <v>2.18E-2</v>
      </c>
      <c r="P54" s="203">
        <f t="shared" si="9"/>
        <v>2.1800000000000003E-2</v>
      </c>
      <c r="Q54" s="200">
        <f t="shared" si="7"/>
        <v>9.3333333333333343E-6</v>
      </c>
      <c r="R54" s="267">
        <f t="shared" si="2"/>
        <v>8.2137000000000009E-3</v>
      </c>
      <c r="S54" s="276">
        <v>6.2700000000000004E-3</v>
      </c>
      <c r="T54" s="200">
        <f t="shared" si="8"/>
        <v>3.4412733260153681E-6</v>
      </c>
      <c r="U54" s="270"/>
      <c r="W54">
        <v>1</v>
      </c>
    </row>
    <row r="55" spans="1:23" ht="12.75" customHeight="1" x14ac:dyDescent="0.25">
      <c r="A55" s="199" t="s">
        <v>294</v>
      </c>
      <c r="B55" s="199" t="s">
        <v>548</v>
      </c>
      <c r="C55" s="199" t="str">
        <f t="shared" si="0"/>
        <v>Se_to_air</v>
      </c>
      <c r="D55" s="195">
        <v>9.5700000000000003E-8</v>
      </c>
      <c r="E55" s="195">
        <v>9.9299999999999996E-8</v>
      </c>
      <c r="F55" s="195">
        <v>9.6900000000000001E-8</v>
      </c>
      <c r="G55" s="203">
        <f t="shared" si="10"/>
        <v>9.7300000000000004E-8</v>
      </c>
      <c r="H55" s="200">
        <f t="shared" si="11"/>
        <v>4.1759656652360515E-11</v>
      </c>
      <c r="I55" s="268">
        <v>1.4000000000000001E-7</v>
      </c>
      <c r="J55" s="262">
        <v>1.4000000000000001E-7</v>
      </c>
      <c r="K55" s="262">
        <v>1.3899999999999999E-7</v>
      </c>
      <c r="L55" s="262">
        <v>1.4100000000000001E-7</v>
      </c>
      <c r="M55" s="262">
        <v>1.4100000000000001E-7</v>
      </c>
      <c r="N55" s="262">
        <v>1.42E-7</v>
      </c>
      <c r="O55" s="262">
        <v>1.43E-7</v>
      </c>
      <c r="P55" s="203">
        <f t="shared" si="9"/>
        <v>1.4085714285714286E-7</v>
      </c>
      <c r="Q55" s="200">
        <f t="shared" si="7"/>
        <v>6.0305810397553518E-11</v>
      </c>
      <c r="R55" s="267">
        <f t="shared" si="2"/>
        <v>3.3667E-8</v>
      </c>
      <c r="S55" s="276">
        <v>2.5699999999999999E-8</v>
      </c>
      <c r="T55" s="200">
        <f t="shared" si="8"/>
        <v>1.4105378704720086E-11</v>
      </c>
      <c r="U55" s="270"/>
      <c r="W55">
        <v>1</v>
      </c>
    </row>
    <row r="56" spans="1:23" ht="12.75" customHeight="1" x14ac:dyDescent="0.25">
      <c r="A56" s="196" t="s">
        <v>295</v>
      </c>
      <c r="C56" s="199"/>
      <c r="D56" s="195">
        <v>4.4499999999999997E-5</v>
      </c>
      <c r="E56" s="195">
        <v>4.4499999999999997E-5</v>
      </c>
      <c r="F56" s="195">
        <v>4.4499999999999997E-5</v>
      </c>
      <c r="G56" s="203">
        <f t="shared" si="10"/>
        <v>4.4499999999999997E-5</v>
      </c>
      <c r="H56" s="202">
        <f t="shared" si="11"/>
        <v>1.9098712446351931E-8</v>
      </c>
      <c r="I56" s="268">
        <v>1.04E-8</v>
      </c>
      <c r="J56" s="262">
        <v>1.04E-8</v>
      </c>
      <c r="K56" s="262">
        <v>1.04E-8</v>
      </c>
      <c r="L56" s="262">
        <v>1.04E-8</v>
      </c>
      <c r="M56" s="262">
        <v>1.04E-8</v>
      </c>
      <c r="N56" s="262">
        <v>1.04E-8</v>
      </c>
      <c r="O56" s="262">
        <v>1.04E-8</v>
      </c>
      <c r="P56" s="203">
        <f t="shared" si="9"/>
        <v>1.04E-8</v>
      </c>
      <c r="Q56" s="202">
        <f t="shared" si="7"/>
        <v>4.4525993883792048E-12</v>
      </c>
      <c r="R56" s="267">
        <f t="shared" si="2"/>
        <v>1.2340199999999998E-7</v>
      </c>
      <c r="S56" s="276">
        <v>9.4199999999999996E-8</v>
      </c>
      <c r="T56" s="202">
        <f t="shared" si="8"/>
        <v>5.170142700329308E-11</v>
      </c>
      <c r="U56" s="270"/>
      <c r="W56">
        <v>1</v>
      </c>
    </row>
    <row r="57" spans="1:23" ht="12.75" customHeight="1" x14ac:dyDescent="0.25">
      <c r="A57" s="196" t="s">
        <v>296</v>
      </c>
      <c r="B57" s="199" t="s">
        <v>549</v>
      </c>
      <c r="C57" s="199" t="str">
        <f t="shared" si="0"/>
        <v>SOx_to_air</v>
      </c>
      <c r="D57" s="195">
        <v>2.42E-4</v>
      </c>
      <c r="E57" s="195">
        <v>2.42E-4</v>
      </c>
      <c r="F57" s="195">
        <v>2.42E-4</v>
      </c>
      <c r="G57" s="203">
        <f t="shared" si="10"/>
        <v>2.42E-4</v>
      </c>
      <c r="H57" s="200">
        <f t="shared" si="11"/>
        <v>1.0386266094420602E-7</v>
      </c>
      <c r="I57" s="268">
        <v>2.63E-4</v>
      </c>
      <c r="J57" s="262">
        <v>2.63E-4</v>
      </c>
      <c r="K57" s="262">
        <v>2.63E-4</v>
      </c>
      <c r="L57" s="262">
        <v>2.63E-4</v>
      </c>
      <c r="M57" s="262">
        <v>2.63E-4</v>
      </c>
      <c r="N57" s="262">
        <v>2.63E-4</v>
      </c>
      <c r="O57" s="262">
        <v>2.63E-4</v>
      </c>
      <c r="P57" s="203">
        <f t="shared" si="9"/>
        <v>2.63E-4</v>
      </c>
      <c r="Q57" s="200">
        <f t="shared" si="7"/>
        <v>1.1259938837920489E-7</v>
      </c>
      <c r="R57" s="267">
        <f t="shared" si="2"/>
        <v>5.3448000000000001E-5</v>
      </c>
      <c r="S57" s="276">
        <v>4.0800000000000002E-5</v>
      </c>
      <c r="T57" s="200">
        <f t="shared" si="8"/>
        <v>2.2392974753018662E-8</v>
      </c>
      <c r="U57" s="270"/>
      <c r="W57">
        <v>1</v>
      </c>
    </row>
    <row r="58" spans="1:23" ht="12.75" customHeight="1" x14ac:dyDescent="0.25">
      <c r="A58" s="199" t="s">
        <v>297</v>
      </c>
      <c r="C58" s="199"/>
      <c r="D58" s="195">
        <v>6.6499999999999997E-3</v>
      </c>
      <c r="E58" s="195">
        <v>6.6499999999999997E-3</v>
      </c>
      <c r="F58" s="195">
        <v>6.6499999999999997E-3</v>
      </c>
      <c r="G58" s="203">
        <f t="shared" si="10"/>
        <v>6.6499999999999997E-3</v>
      </c>
      <c r="H58" s="202">
        <f t="shared" si="11"/>
        <v>2.8540772532188838E-6</v>
      </c>
      <c r="I58" s="268">
        <v>2.04E-6</v>
      </c>
      <c r="J58" s="262">
        <v>2.04E-6</v>
      </c>
      <c r="K58" s="262">
        <v>2.04E-6</v>
      </c>
      <c r="L58" s="262">
        <v>2.04E-6</v>
      </c>
      <c r="M58" s="262">
        <v>2.04E-6</v>
      </c>
      <c r="N58" s="262">
        <v>2.04E-6</v>
      </c>
      <c r="O58" s="262">
        <v>2.04E-6</v>
      </c>
      <c r="P58" s="203">
        <f t="shared" si="9"/>
        <v>2.0400000000000004E-6</v>
      </c>
      <c r="Q58" s="202">
        <f t="shared" si="7"/>
        <v>8.7339449541284417E-10</v>
      </c>
      <c r="R58" s="267">
        <f t="shared" si="2"/>
        <v>2.4104000000000002E-5</v>
      </c>
      <c r="S58" s="276">
        <v>1.84E-5</v>
      </c>
      <c r="T58" s="202">
        <f t="shared" si="8"/>
        <v>1.0098792535675082E-8</v>
      </c>
      <c r="U58" s="266"/>
      <c r="W58">
        <v>1</v>
      </c>
    </row>
    <row r="59" spans="1:23" ht="12.75" customHeight="1" x14ac:dyDescent="0.25">
      <c r="A59" s="199" t="s">
        <v>298</v>
      </c>
      <c r="B59" s="199" t="s">
        <v>550</v>
      </c>
      <c r="C59" s="199" t="str">
        <f t="shared" si="0"/>
        <v>NMVOC_air</v>
      </c>
      <c r="D59" s="195">
        <v>7.3800000000000003E-3</v>
      </c>
      <c r="E59" s="195">
        <v>7.3800000000000003E-3</v>
      </c>
      <c r="F59" s="195">
        <v>7.3800000000000003E-3</v>
      </c>
      <c r="G59" s="203">
        <f t="shared" si="10"/>
        <v>7.3800000000000003E-3</v>
      </c>
      <c r="H59" s="200">
        <f>(G59-G42)/G$9</f>
        <v>2.9377682403433478E-6</v>
      </c>
      <c r="I59" s="268">
        <v>3.8500000000000001E-5</v>
      </c>
      <c r="J59" s="262">
        <v>3.8500000000000001E-5</v>
      </c>
      <c r="K59" s="262">
        <v>3.8500000000000001E-5</v>
      </c>
      <c r="L59" s="262">
        <v>3.8500000000000001E-5</v>
      </c>
      <c r="M59" s="262">
        <v>3.8500000000000001E-5</v>
      </c>
      <c r="N59" s="262">
        <v>3.8500000000000001E-5</v>
      </c>
      <c r="O59" s="262">
        <v>3.8500000000000001E-5</v>
      </c>
      <c r="P59" s="203">
        <f t="shared" si="9"/>
        <v>3.8500000000000007E-5</v>
      </c>
      <c r="Q59" s="200">
        <f>(P59-P42)/P$9</f>
        <v>1.083180428134557E-8</v>
      </c>
      <c r="R59" s="267">
        <f t="shared" si="2"/>
        <v>4.9125000000000004E-4</v>
      </c>
      <c r="S59" s="276">
        <v>3.7500000000000001E-4</v>
      </c>
      <c r="T59" s="200">
        <f>(S59-S42)/S$9</f>
        <v>1.2623490669593854E-7</v>
      </c>
      <c r="U59" s="270">
        <v>4</v>
      </c>
      <c r="V59" t="s">
        <v>511</v>
      </c>
      <c r="W59">
        <v>1</v>
      </c>
    </row>
    <row r="60" spans="1:23" ht="12.75" customHeight="1" x14ac:dyDescent="0.25">
      <c r="A60" s="199" t="s">
        <v>299</v>
      </c>
      <c r="B60" s="199" t="s">
        <v>551</v>
      </c>
      <c r="C60" s="199" t="str">
        <f t="shared" si="0"/>
        <v>Zn_to_air</v>
      </c>
      <c r="D60" s="195">
        <v>1.66E-8</v>
      </c>
      <c r="E60" s="195">
        <v>1.66E-8</v>
      </c>
      <c r="F60" s="195">
        <v>1.66E-8</v>
      </c>
      <c r="G60" s="203">
        <f t="shared" si="10"/>
        <v>1.66E-8</v>
      </c>
      <c r="H60" s="200">
        <f>G60/G$9</f>
        <v>7.1244635193133047E-12</v>
      </c>
      <c r="I60" s="268">
        <v>2.8900000000000001E-8</v>
      </c>
      <c r="J60" s="262">
        <v>2.8900000000000001E-8</v>
      </c>
      <c r="K60" s="262">
        <v>2.8900000000000001E-8</v>
      </c>
      <c r="L60" s="262">
        <v>2.8900000000000001E-8</v>
      </c>
      <c r="M60" s="262">
        <v>2.8900000000000001E-8</v>
      </c>
      <c r="N60" s="262">
        <v>2.8900000000000001E-8</v>
      </c>
      <c r="O60" s="262">
        <v>2.8900000000000001E-8</v>
      </c>
      <c r="P60" s="203">
        <f t="shared" si="9"/>
        <v>2.8900000000000001E-8</v>
      </c>
      <c r="Q60" s="200">
        <f>P60/P$9</f>
        <v>1.237308868501529E-11</v>
      </c>
      <c r="R60" s="267">
        <f t="shared" si="2"/>
        <v>0</v>
      </c>
      <c r="S60" s="276">
        <v>0</v>
      </c>
      <c r="T60" s="200">
        <f>S60/S$9</f>
        <v>0</v>
      </c>
      <c r="U60" s="270"/>
      <c r="W60">
        <v>1</v>
      </c>
    </row>
    <row r="61" spans="1:23" ht="12.75" customHeight="1" x14ac:dyDescent="0.25">
      <c r="A61" s="199" t="s">
        <v>300</v>
      </c>
      <c r="C61" s="199"/>
      <c r="D61" s="196"/>
      <c r="E61" s="196"/>
      <c r="F61" s="196"/>
      <c r="G61" s="203"/>
      <c r="H61" s="202"/>
      <c r="I61" s="269"/>
      <c r="J61" s="261"/>
      <c r="K61" s="261"/>
      <c r="L61" s="261"/>
      <c r="M61" s="261"/>
      <c r="N61" s="261"/>
      <c r="O61" s="261"/>
      <c r="P61" s="203"/>
      <c r="Q61" s="202"/>
      <c r="R61" s="267"/>
      <c r="S61" s="276"/>
      <c r="T61" s="202"/>
      <c r="U61" s="270"/>
    </row>
    <row r="62" spans="1:23" ht="12.75" customHeight="1" x14ac:dyDescent="0.25">
      <c r="A62" s="199" t="s">
        <v>301</v>
      </c>
      <c r="B62" s="196" t="s">
        <v>552</v>
      </c>
      <c r="C62" s="199" t="str">
        <f t="shared" si="0"/>
        <v>solidwaste</v>
      </c>
      <c r="D62" s="195">
        <v>76</v>
      </c>
      <c r="E62" s="195">
        <v>76</v>
      </c>
      <c r="F62" s="195">
        <v>76</v>
      </c>
      <c r="G62" s="203">
        <f>AVERAGE(D62:F62)</f>
        <v>76</v>
      </c>
      <c r="H62" s="200">
        <f t="shared" ref="H62" si="12">G62/G$9</f>
        <v>3.2618025751072963E-2</v>
      </c>
      <c r="I62" s="268">
        <v>24.5</v>
      </c>
      <c r="J62" s="262">
        <v>24.5</v>
      </c>
      <c r="K62" s="262">
        <v>24.5</v>
      </c>
      <c r="L62" s="262">
        <v>24.5</v>
      </c>
      <c r="M62" s="262">
        <v>24.5</v>
      </c>
      <c r="N62" s="262">
        <v>24.5</v>
      </c>
      <c r="O62" s="262">
        <v>24.5</v>
      </c>
      <c r="P62" s="203">
        <f>AVERAGE(I62:O62)</f>
        <v>24.5</v>
      </c>
      <c r="Q62" s="200">
        <f t="shared" ref="Q62" si="13">P62/P$9</f>
        <v>1.0489296636085627E-2</v>
      </c>
      <c r="R62" s="267">
        <f t="shared" si="2"/>
        <v>66.941000000000003</v>
      </c>
      <c r="S62" s="276">
        <v>51.1</v>
      </c>
      <c r="T62" s="200">
        <f>S62/S$9</f>
        <v>2.804610318331504E-2</v>
      </c>
      <c r="U62" s="270"/>
      <c r="W62">
        <v>1</v>
      </c>
    </row>
    <row r="63" spans="1:23" ht="12.75" customHeight="1" x14ac:dyDescent="0.25">
      <c r="A63" s="194"/>
      <c r="B63" s="194"/>
      <c r="C63" s="194"/>
      <c r="D63" s="194"/>
      <c r="E63" s="194"/>
      <c r="F63" s="193"/>
    </row>
    <row r="64" spans="1:23" x14ac:dyDescent="0.25">
      <c r="A64" s="194"/>
      <c r="B64" s="194"/>
      <c r="C64" s="194"/>
      <c r="D64" s="194"/>
      <c r="E64" s="194"/>
    </row>
    <row r="65" spans="1:5" x14ac:dyDescent="0.25">
      <c r="A65" s="194"/>
      <c r="B65" s="194"/>
      <c r="C65" s="194"/>
      <c r="D65" s="194"/>
      <c r="E65" s="194"/>
    </row>
    <row r="66" spans="1:5" x14ac:dyDescent="0.25">
      <c r="A66" s="194"/>
      <c r="B66" s="194"/>
      <c r="C66" s="194"/>
      <c r="D66" s="194"/>
      <c r="E66" s="194"/>
    </row>
    <row r="67" spans="1:5" x14ac:dyDescent="0.25">
      <c r="A67" s="194"/>
      <c r="B67" s="194"/>
      <c r="C67" s="194"/>
      <c r="D67" s="194"/>
      <c r="E67" s="194"/>
    </row>
    <row r="68" spans="1:5" x14ac:dyDescent="0.25">
      <c r="A68" s="194"/>
      <c r="B68" s="194"/>
      <c r="C68" s="194"/>
      <c r="D68" s="194"/>
      <c r="E68" s="194"/>
    </row>
    <row r="69" spans="1:5" x14ac:dyDescent="0.25">
      <c r="A69" s="194"/>
      <c r="B69" s="194"/>
      <c r="C69" s="194"/>
      <c r="D69" s="194"/>
      <c r="E69" s="194"/>
    </row>
    <row r="70" spans="1:5" x14ac:dyDescent="0.25">
      <c r="A70" s="194"/>
      <c r="B70" s="194"/>
      <c r="C70" s="194"/>
      <c r="D70" s="194"/>
      <c r="E70" s="194"/>
    </row>
    <row r="71" spans="1:5" x14ac:dyDescent="0.25">
      <c r="A71" s="194"/>
      <c r="B71" s="194"/>
      <c r="C71" s="194"/>
      <c r="D71" s="194"/>
      <c r="E71" s="194"/>
    </row>
    <row r="72" spans="1:5" x14ac:dyDescent="0.25">
      <c r="A72" s="194"/>
      <c r="B72" s="194"/>
      <c r="C72" s="194"/>
      <c r="D72" s="194"/>
      <c r="E72" s="194"/>
    </row>
    <row r="73" spans="1:5" x14ac:dyDescent="0.25">
      <c r="A73" s="194"/>
      <c r="B73" s="194"/>
      <c r="C73" s="194"/>
      <c r="D73" s="194"/>
      <c r="E73" s="194"/>
    </row>
    <row r="74" spans="1:5" x14ac:dyDescent="0.25">
      <c r="A74" s="194"/>
      <c r="B74" s="194"/>
      <c r="C74" s="194"/>
      <c r="D74" s="194"/>
      <c r="E74" s="194"/>
    </row>
    <row r="75" spans="1:5" x14ac:dyDescent="0.25">
      <c r="A75" s="194"/>
      <c r="B75" s="194"/>
      <c r="C75" s="194"/>
      <c r="D75" s="194"/>
      <c r="E75" s="194"/>
    </row>
    <row r="76" spans="1:5" x14ac:dyDescent="0.25">
      <c r="A76" s="194"/>
      <c r="B76" s="194"/>
      <c r="C76" s="194"/>
      <c r="D76" s="194"/>
      <c r="E76" s="194"/>
    </row>
    <row r="77" spans="1:5" x14ac:dyDescent="0.25">
      <c r="A77" s="194"/>
      <c r="B77" s="194"/>
      <c r="C77" s="194"/>
      <c r="D77" s="194"/>
      <c r="E77" s="194"/>
    </row>
    <row r="78" spans="1:5" x14ac:dyDescent="0.25">
      <c r="A78" s="194"/>
      <c r="B78" s="194"/>
      <c r="C78" s="194"/>
      <c r="D78" s="194"/>
      <c r="E78" s="194"/>
    </row>
    <row r="79" spans="1:5" x14ac:dyDescent="0.25">
      <c r="A79" s="194"/>
      <c r="B79" s="194"/>
      <c r="C79" s="194"/>
      <c r="D79" s="194"/>
      <c r="E79" s="194"/>
    </row>
    <row r="80" spans="1:5" x14ac:dyDescent="0.25">
      <c r="A80" s="194"/>
      <c r="B80" s="194"/>
      <c r="C80" s="194"/>
      <c r="D80" s="194"/>
      <c r="E80" s="194"/>
    </row>
  </sheetData>
  <mergeCells count="18">
    <mergeCell ref="A7:A8"/>
    <mergeCell ref="D7:D8"/>
    <mergeCell ref="E7:E8"/>
    <mergeCell ref="F7:F8"/>
    <mergeCell ref="I7:I8"/>
    <mergeCell ref="T7:T8"/>
    <mergeCell ref="S7:S8"/>
    <mergeCell ref="G7:G8"/>
    <mergeCell ref="H7:H8"/>
    <mergeCell ref="R7:R8"/>
    <mergeCell ref="P7:P8"/>
    <mergeCell ref="Q7:Q8"/>
    <mergeCell ref="J7:J8"/>
    <mergeCell ref="K7:K8"/>
    <mergeCell ref="L7:L8"/>
    <mergeCell ref="M7:M8"/>
    <mergeCell ref="N7:N8"/>
    <mergeCell ref="O7:O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B73"/>
  <sheetViews>
    <sheetView zoomScaleNormal="100" workbookViewId="0">
      <pane xSplit="1" topLeftCell="N1" activePane="topRight" state="frozen"/>
      <selection pane="topRight" activeCell="C3" sqref="C3"/>
    </sheetView>
  </sheetViews>
  <sheetFormatPr defaultRowHeight="15" x14ac:dyDescent="0.25"/>
  <cols>
    <col min="1" max="1" width="30.5703125" style="188" customWidth="1"/>
    <col min="2" max="2" width="28.5703125" style="188" customWidth="1"/>
    <col min="3" max="4" width="11" style="188" customWidth="1"/>
    <col min="5" max="5" width="22.85546875" style="188" customWidth="1"/>
    <col min="6" max="7" width="11" style="188" customWidth="1"/>
    <col min="8" max="9" width="9.140625" style="188" customWidth="1"/>
    <col min="10" max="10" width="19" style="245" customWidth="1"/>
    <col min="11" max="24" width="9.140625"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26" x14ac:dyDescent="0.25">
      <c r="A1"/>
      <c r="B1"/>
      <c r="C1" s="481" t="s">
        <v>641</v>
      </c>
      <c r="D1" s="481"/>
      <c r="E1" s="481"/>
      <c r="F1" s="481"/>
      <c r="G1" s="481"/>
      <c r="H1" s="481"/>
      <c r="I1" s="481"/>
      <c r="J1" s="481"/>
      <c r="K1" s="481"/>
      <c r="L1" s="481"/>
      <c r="M1" s="481"/>
      <c r="N1" s="482" t="s">
        <v>984</v>
      </c>
      <c r="O1" s="482"/>
      <c r="P1" s="482"/>
      <c r="Q1" s="482"/>
      <c r="R1" s="482"/>
      <c r="S1" s="482"/>
      <c r="T1" s="482"/>
      <c r="U1" s="482"/>
      <c r="V1" s="482"/>
      <c r="W1" s="482"/>
      <c r="X1" s="482"/>
      <c r="Y1" s="284"/>
      <c r="Z1" s="284"/>
    </row>
    <row r="2" spans="1:26" ht="30" x14ac:dyDescent="0.25">
      <c r="A2" s="197"/>
      <c r="B2" s="197"/>
      <c r="C2" s="197" t="s">
        <v>410</v>
      </c>
      <c r="D2" s="197" t="s">
        <v>640</v>
      </c>
      <c r="E2" s="197" t="s">
        <v>639</v>
      </c>
      <c r="F2" s="197" t="s">
        <v>638</v>
      </c>
      <c r="G2" s="197" t="s">
        <v>637</v>
      </c>
      <c r="H2" s="197" t="s">
        <v>636</v>
      </c>
      <c r="I2" s="197" t="s">
        <v>635</v>
      </c>
      <c r="J2" s="197" t="s">
        <v>634</v>
      </c>
      <c r="K2" s="197" t="s">
        <v>633</v>
      </c>
      <c r="L2" s="197" t="s">
        <v>632</v>
      </c>
      <c r="M2" s="197" t="s">
        <v>631</v>
      </c>
      <c r="N2" s="197" t="s">
        <v>410</v>
      </c>
      <c r="O2" s="197" t="s">
        <v>640</v>
      </c>
      <c r="P2" s="197" t="s">
        <v>639</v>
      </c>
      <c r="Q2" s="197" t="s">
        <v>638</v>
      </c>
      <c r="R2" s="197" t="s">
        <v>637</v>
      </c>
      <c r="S2" s="197" t="s">
        <v>636</v>
      </c>
      <c r="T2" s="197" t="s">
        <v>635</v>
      </c>
      <c r="U2" s="197" t="s">
        <v>634</v>
      </c>
      <c r="V2" s="197" t="s">
        <v>633</v>
      </c>
      <c r="W2" s="197" t="s">
        <v>632</v>
      </c>
      <c r="X2" s="197" t="s">
        <v>631</v>
      </c>
    </row>
    <row r="3" spans="1:26" ht="30" x14ac:dyDescent="0.25">
      <c r="A3" s="197" t="s">
        <v>630</v>
      </c>
      <c r="B3" s="197"/>
      <c r="C3" s="283">
        <f>'Concrete Mix'!L6</f>
        <v>159</v>
      </c>
      <c r="D3" s="283">
        <f>'Concrete Mix'!E6</f>
        <v>335</v>
      </c>
      <c r="E3" s="283">
        <f>'Concrete Mix'!F6</f>
        <v>279</v>
      </c>
      <c r="F3" s="283">
        <f>'Concrete Mix'!G6</f>
        <v>223</v>
      </c>
      <c r="G3" s="283">
        <f>'Concrete Mix'!H6</f>
        <v>179</v>
      </c>
      <c r="H3" s="283">
        <f>'Concrete Mix'!I6</f>
        <v>167</v>
      </c>
      <c r="I3" s="283">
        <f>'Concrete Mix'!J6</f>
        <v>145</v>
      </c>
      <c r="J3" s="283">
        <f>'Concrete Mix'!K6</f>
        <v>112</v>
      </c>
      <c r="K3" s="283">
        <f>'Concrete Mix'!B6</f>
        <v>504</v>
      </c>
      <c r="L3" s="283">
        <f>'Concrete Mix'!C6</f>
        <v>445</v>
      </c>
      <c r="M3" s="283">
        <f>'Concrete Mix'!D6</f>
        <v>386</v>
      </c>
      <c r="N3" s="197"/>
      <c r="O3" s="197"/>
      <c r="P3" s="197"/>
      <c r="Q3" s="197"/>
      <c r="R3" s="197"/>
      <c r="S3" s="197"/>
      <c r="T3" s="197"/>
      <c r="U3" s="197"/>
      <c r="V3" s="197"/>
      <c r="W3" s="197"/>
      <c r="X3" s="197"/>
    </row>
    <row r="4" spans="1:26" ht="23.25" customHeight="1" x14ac:dyDescent="0.25">
      <c r="A4" s="344" t="s">
        <v>251</v>
      </c>
      <c r="B4" s="197"/>
      <c r="C4" s="283"/>
      <c r="D4" s="283"/>
      <c r="E4" s="283"/>
      <c r="F4" s="283"/>
      <c r="G4" s="283"/>
      <c r="H4" s="283"/>
      <c r="I4" s="283"/>
      <c r="J4" s="283"/>
      <c r="K4" s="283"/>
      <c r="L4" s="283"/>
      <c r="M4" s="283"/>
      <c r="N4" s="197"/>
      <c r="O4" s="197"/>
      <c r="P4" s="197"/>
      <c r="Q4" s="197"/>
      <c r="R4" s="197"/>
      <c r="S4" s="197"/>
      <c r="T4" s="197"/>
      <c r="U4" s="197"/>
      <c r="V4" s="197"/>
      <c r="W4" s="197"/>
      <c r="X4" s="197"/>
    </row>
    <row r="5" spans="1:26" x14ac:dyDescent="0.25">
      <c r="A5" s="345" t="s">
        <v>985</v>
      </c>
      <c r="B5" s="321"/>
      <c r="C5" s="197"/>
      <c r="D5" s="283"/>
      <c r="E5" s="283"/>
      <c r="F5" s="283"/>
      <c r="G5" s="283"/>
      <c r="H5" s="283"/>
      <c r="I5" s="283"/>
      <c r="J5" s="283"/>
      <c r="K5" s="196"/>
      <c r="L5" s="196"/>
      <c r="M5" s="196"/>
      <c r="N5" s="197"/>
      <c r="O5" s="197"/>
      <c r="P5" s="197"/>
      <c r="Q5" s="197"/>
      <c r="R5" s="197"/>
      <c r="S5" s="197"/>
      <c r="T5" s="197"/>
      <c r="U5" s="197"/>
      <c r="V5" s="197"/>
      <c r="W5" s="197"/>
      <c r="X5" s="197"/>
      <c r="Y5" t="s">
        <v>628</v>
      </c>
    </row>
    <row r="6" spans="1:26" x14ac:dyDescent="0.25">
      <c r="A6" s="279" t="s">
        <v>627</v>
      </c>
      <c r="B6" s="279"/>
      <c r="C6" s="278">
        <v>185</v>
      </c>
      <c r="D6" s="195">
        <v>389</v>
      </c>
      <c r="E6" s="195">
        <v>324</v>
      </c>
      <c r="F6" s="195">
        <v>260</v>
      </c>
      <c r="G6" s="195">
        <v>208</v>
      </c>
      <c r="H6" s="195">
        <v>195</v>
      </c>
      <c r="I6" s="195">
        <v>168</v>
      </c>
      <c r="J6" s="195">
        <v>130</v>
      </c>
      <c r="K6" s="195">
        <v>587</v>
      </c>
      <c r="L6" s="195">
        <v>518</v>
      </c>
      <c r="M6" s="195">
        <v>449</v>
      </c>
      <c r="N6" s="194">
        <f t="shared" ref="N6:N20" si="0">C6/C$3</f>
        <v>1.1635220125786163</v>
      </c>
      <c r="O6" s="194">
        <f t="shared" ref="O6:O20" si="1">D6/D$3</f>
        <v>1.1611940298507464</v>
      </c>
      <c r="P6" s="194">
        <f t="shared" ref="P6:P20" si="2">E6/E$3</f>
        <v>1.1612903225806452</v>
      </c>
      <c r="Q6" s="194">
        <f t="shared" ref="Q6:Q20" si="3">F6/F$3</f>
        <v>1.1659192825112108</v>
      </c>
      <c r="R6" s="194">
        <f t="shared" ref="R6:R20" si="4">G6/G$3</f>
        <v>1.1620111731843576</v>
      </c>
      <c r="S6" s="194">
        <f t="shared" ref="S6:S20" si="5">H6/H$3</f>
        <v>1.1676646706586826</v>
      </c>
      <c r="T6" s="194">
        <f t="shared" ref="T6:T20" si="6">I6/I$3</f>
        <v>1.1586206896551725</v>
      </c>
      <c r="U6" s="194">
        <f t="shared" ref="U6:U20" si="7">J6/J$3</f>
        <v>1.1607142857142858</v>
      </c>
      <c r="V6" s="194">
        <f t="shared" ref="V6:V20" si="8">K6/K$3</f>
        <v>1.1646825396825398</v>
      </c>
      <c r="W6" s="194">
        <f t="shared" ref="W6:W20" si="9">L6/L$3</f>
        <v>1.1640449438202247</v>
      </c>
      <c r="X6" s="194">
        <f t="shared" ref="X6:X20" si="10">M6/M$3</f>
        <v>1.1632124352331605</v>
      </c>
      <c r="Y6" s="193">
        <f t="shared" ref="Y6:Y20" si="11">AVERAGE(N6:X6)</f>
        <v>1.162988762315422</v>
      </c>
    </row>
    <row r="7" spans="1:26" x14ac:dyDescent="0.25">
      <c r="A7" s="279" t="s">
        <v>626</v>
      </c>
      <c r="B7" s="279" t="s">
        <v>456</v>
      </c>
      <c r="C7" s="278">
        <v>31.6</v>
      </c>
      <c r="D7" s="195">
        <v>66.7</v>
      </c>
      <c r="E7" s="195">
        <v>55.6</v>
      </c>
      <c r="F7" s="195">
        <v>44.5</v>
      </c>
      <c r="G7" s="195">
        <v>35.6</v>
      </c>
      <c r="H7" s="195">
        <v>33.299999999999997</v>
      </c>
      <c r="I7" s="195">
        <v>28.9</v>
      </c>
      <c r="J7" s="195">
        <v>22.2</v>
      </c>
      <c r="K7" s="195">
        <v>101</v>
      </c>
      <c r="L7" s="195">
        <v>88.7</v>
      </c>
      <c r="M7" s="195">
        <v>76.900000000000006</v>
      </c>
      <c r="N7" s="194">
        <f t="shared" si="0"/>
        <v>0.19874213836477989</v>
      </c>
      <c r="O7" s="194">
        <f t="shared" si="1"/>
        <v>0.19910447761194031</v>
      </c>
      <c r="P7" s="194">
        <f t="shared" si="2"/>
        <v>0.19928315412186381</v>
      </c>
      <c r="Q7" s="194">
        <f t="shared" si="3"/>
        <v>0.19955156950672645</v>
      </c>
      <c r="R7" s="194">
        <f t="shared" si="4"/>
        <v>0.19888268156424582</v>
      </c>
      <c r="S7" s="194">
        <f t="shared" si="5"/>
        <v>0.19940119760479041</v>
      </c>
      <c r="T7" s="194">
        <f t="shared" si="6"/>
        <v>0.19931034482758619</v>
      </c>
      <c r="U7" s="194">
        <f t="shared" si="7"/>
        <v>0.1982142857142857</v>
      </c>
      <c r="V7" s="194">
        <f t="shared" si="8"/>
        <v>0.20039682539682541</v>
      </c>
      <c r="W7" s="194">
        <f t="shared" si="9"/>
        <v>0.19932584269662923</v>
      </c>
      <c r="X7" s="194">
        <f t="shared" si="10"/>
        <v>0.19922279792746114</v>
      </c>
      <c r="Y7" s="271">
        <f>AVERAGE(N7:X7)+Y6</f>
        <v>1.3622101546187979</v>
      </c>
      <c r="Z7" t="s">
        <v>625</v>
      </c>
    </row>
    <row r="8" spans="1:26" x14ac:dyDescent="0.25">
      <c r="A8" s="279" t="s">
        <v>624</v>
      </c>
      <c r="B8" s="279" t="s">
        <v>457</v>
      </c>
      <c r="C8" s="278">
        <v>7.99</v>
      </c>
      <c r="D8" s="195">
        <v>16.8</v>
      </c>
      <c r="E8" s="195">
        <v>14</v>
      </c>
      <c r="F8" s="195">
        <v>11.2</v>
      </c>
      <c r="G8" s="195">
        <v>8.98</v>
      </c>
      <c r="H8" s="195">
        <v>8.42</v>
      </c>
      <c r="I8" s="195">
        <v>7.28</v>
      </c>
      <c r="J8" s="195">
        <v>5.61</v>
      </c>
      <c r="K8" s="195">
        <v>25.4</v>
      </c>
      <c r="L8" s="195">
        <v>22.4</v>
      </c>
      <c r="M8" s="195">
        <v>19.399999999999999</v>
      </c>
      <c r="N8" s="194">
        <f t="shared" si="0"/>
        <v>5.0251572327044025E-2</v>
      </c>
      <c r="O8" s="194">
        <f t="shared" si="1"/>
        <v>5.0149253731343282E-2</v>
      </c>
      <c r="P8" s="194">
        <f t="shared" si="2"/>
        <v>5.0179211469534052E-2</v>
      </c>
      <c r="Q8" s="194">
        <f t="shared" si="3"/>
        <v>5.0224215246636769E-2</v>
      </c>
      <c r="R8" s="194">
        <f t="shared" si="4"/>
        <v>5.0167597765363128E-2</v>
      </c>
      <c r="S8" s="194">
        <f t="shared" si="5"/>
        <v>5.0419161676646708E-2</v>
      </c>
      <c r="T8" s="194">
        <f t="shared" si="6"/>
        <v>5.0206896551724139E-2</v>
      </c>
      <c r="U8" s="194">
        <f t="shared" si="7"/>
        <v>5.0089285714285718E-2</v>
      </c>
      <c r="V8" s="194">
        <f t="shared" si="8"/>
        <v>5.0396825396825391E-2</v>
      </c>
      <c r="W8" s="194">
        <f t="shared" si="9"/>
        <v>5.0337078651685394E-2</v>
      </c>
      <c r="X8" s="194">
        <f t="shared" si="10"/>
        <v>5.0259067357512947E-2</v>
      </c>
      <c r="Y8" s="271">
        <f t="shared" si="11"/>
        <v>5.0243651444418329E-2</v>
      </c>
    </row>
    <row r="9" spans="1:26" x14ac:dyDescent="0.25">
      <c r="A9" s="279" t="s">
        <v>623</v>
      </c>
      <c r="B9" s="279" t="s">
        <v>458</v>
      </c>
      <c r="C9" s="278">
        <v>9.75</v>
      </c>
      <c r="D9" s="195">
        <v>20.5</v>
      </c>
      <c r="E9" s="195">
        <v>17.100000000000001</v>
      </c>
      <c r="F9" s="195">
        <v>13.7</v>
      </c>
      <c r="G9" s="195">
        <v>11</v>
      </c>
      <c r="H9" s="195">
        <v>10.3</v>
      </c>
      <c r="I9" s="195">
        <v>8.89</v>
      </c>
      <c r="J9" s="195">
        <v>6.85</v>
      </c>
      <c r="K9" s="195">
        <v>31</v>
      </c>
      <c r="L9" s="195">
        <v>27.3</v>
      </c>
      <c r="M9" s="195">
        <v>23.7</v>
      </c>
      <c r="N9" s="194">
        <f t="shared" si="0"/>
        <v>6.1320754716981132E-2</v>
      </c>
      <c r="O9" s="194">
        <f t="shared" si="1"/>
        <v>6.1194029850746269E-2</v>
      </c>
      <c r="P9" s="194">
        <f t="shared" si="2"/>
        <v>6.1290322580645165E-2</v>
      </c>
      <c r="Q9" s="194">
        <f t="shared" si="3"/>
        <v>6.1434977578475332E-2</v>
      </c>
      <c r="R9" s="194">
        <f t="shared" si="4"/>
        <v>6.1452513966480445E-2</v>
      </c>
      <c r="S9" s="194">
        <f t="shared" si="5"/>
        <v>6.1676646706586832E-2</v>
      </c>
      <c r="T9" s="194">
        <f t="shared" si="6"/>
        <v>6.1310344827586211E-2</v>
      </c>
      <c r="U9" s="194">
        <f t="shared" si="7"/>
        <v>6.1160714285714284E-2</v>
      </c>
      <c r="V9" s="194">
        <f t="shared" si="8"/>
        <v>6.1507936507936505E-2</v>
      </c>
      <c r="W9" s="194">
        <f t="shared" si="9"/>
        <v>6.1348314606741575E-2</v>
      </c>
      <c r="X9" s="194">
        <f t="shared" si="10"/>
        <v>6.1398963730569946E-2</v>
      </c>
      <c r="Y9" s="271">
        <f t="shared" si="11"/>
        <v>6.1372319941678515E-2</v>
      </c>
    </row>
    <row r="10" spans="1:26" x14ac:dyDescent="0.25">
      <c r="A10" s="279" t="s">
        <v>622</v>
      </c>
      <c r="B10" s="279"/>
      <c r="C10" s="278">
        <v>1.58</v>
      </c>
      <c r="D10" s="195">
        <v>3.32</v>
      </c>
      <c r="E10" s="195">
        <v>2.77</v>
      </c>
      <c r="F10" s="195">
        <v>2.2200000000000002</v>
      </c>
      <c r="G10" s="195">
        <v>1.77</v>
      </c>
      <c r="H10" s="195">
        <v>1.66</v>
      </c>
      <c r="I10" s="195">
        <v>1.44</v>
      </c>
      <c r="J10" s="195">
        <v>1.1100000000000001</v>
      </c>
      <c r="K10" s="195">
        <v>5.01</v>
      </c>
      <c r="L10" s="195">
        <v>4.42</v>
      </c>
      <c r="M10" s="195">
        <v>3.83</v>
      </c>
      <c r="N10" s="194">
        <f t="shared" si="0"/>
        <v>9.9371069182389946E-3</v>
      </c>
      <c r="O10" s="194">
        <f t="shared" si="1"/>
        <v>9.910447761194029E-3</v>
      </c>
      <c r="P10" s="194">
        <f t="shared" si="2"/>
        <v>9.9283154121863806E-3</v>
      </c>
      <c r="Q10" s="194">
        <f t="shared" si="3"/>
        <v>9.9551569506726462E-3</v>
      </c>
      <c r="R10" s="194">
        <f t="shared" si="4"/>
        <v>9.8882681564245803E-3</v>
      </c>
      <c r="S10" s="194">
        <f t="shared" si="5"/>
        <v>9.9401197604790416E-3</v>
      </c>
      <c r="T10" s="194">
        <f t="shared" si="6"/>
        <v>9.9310344827586196E-3</v>
      </c>
      <c r="U10" s="194">
        <f t="shared" si="7"/>
        <v>9.9107142857142866E-3</v>
      </c>
      <c r="V10" s="194">
        <f t="shared" si="8"/>
        <v>9.9404761904761905E-3</v>
      </c>
      <c r="W10" s="194">
        <f t="shared" si="9"/>
        <v>9.9325842696629217E-3</v>
      </c>
      <c r="X10" s="194">
        <f t="shared" si="10"/>
        <v>9.9222797927461144E-3</v>
      </c>
      <c r="Y10" s="193">
        <f t="shared" si="11"/>
        <v>9.9269549073230726E-3</v>
      </c>
    </row>
    <row r="11" spans="1:26" x14ac:dyDescent="0.25">
      <c r="A11" s="279" t="s">
        <v>621</v>
      </c>
      <c r="B11" s="279" t="s">
        <v>798</v>
      </c>
      <c r="C11" s="278">
        <v>2.1</v>
      </c>
      <c r="D11" s="195">
        <v>4.42</v>
      </c>
      <c r="E11" s="195">
        <v>3.68</v>
      </c>
      <c r="F11" s="195">
        <v>2.95</v>
      </c>
      <c r="G11" s="195">
        <v>2.36</v>
      </c>
      <c r="H11" s="195">
        <v>2.21</v>
      </c>
      <c r="I11" s="195">
        <v>1.91</v>
      </c>
      <c r="J11" s="195">
        <v>1.47</v>
      </c>
      <c r="K11" s="195">
        <v>6.66</v>
      </c>
      <c r="L11" s="195">
        <v>5.88</v>
      </c>
      <c r="M11" s="195">
        <v>5.0999999999999996</v>
      </c>
      <c r="N11" s="194">
        <f t="shared" si="0"/>
        <v>1.3207547169811321E-2</v>
      </c>
      <c r="O11" s="194">
        <f t="shared" si="1"/>
        <v>1.3194029850746268E-2</v>
      </c>
      <c r="P11" s="194">
        <f t="shared" si="2"/>
        <v>1.3189964157706093E-2</v>
      </c>
      <c r="Q11" s="194">
        <f t="shared" si="3"/>
        <v>1.3228699551569507E-2</v>
      </c>
      <c r="R11" s="194">
        <f t="shared" si="4"/>
        <v>1.3184357541899441E-2</v>
      </c>
      <c r="S11" s="194">
        <f t="shared" si="5"/>
        <v>1.3233532934131736E-2</v>
      </c>
      <c r="T11" s="194">
        <f t="shared" si="6"/>
        <v>1.3172413793103448E-2</v>
      </c>
      <c r="U11" s="194">
        <f t="shared" si="7"/>
        <v>1.3125E-2</v>
      </c>
      <c r="V11" s="194">
        <f t="shared" si="8"/>
        <v>1.3214285714285715E-2</v>
      </c>
      <c r="W11" s="194">
        <f t="shared" si="9"/>
        <v>1.3213483146067415E-2</v>
      </c>
      <c r="X11" s="194">
        <f t="shared" si="10"/>
        <v>1.3212435233160621E-2</v>
      </c>
      <c r="Y11" s="271">
        <f>AVERAGE(N11:X11)+Y10</f>
        <v>2.3124750279366852E-2</v>
      </c>
      <c r="Z11" s="193" t="s">
        <v>983</v>
      </c>
    </row>
    <row r="12" spans="1:26" x14ac:dyDescent="0.25">
      <c r="A12" s="279" t="s">
        <v>620</v>
      </c>
      <c r="B12" s="279" t="s">
        <v>459</v>
      </c>
      <c r="C12" s="278">
        <v>0.63200000000000001</v>
      </c>
      <c r="D12" s="195">
        <v>1.33</v>
      </c>
      <c r="E12" s="195">
        <v>1.1100000000000001</v>
      </c>
      <c r="F12" s="195">
        <v>0.88800000000000001</v>
      </c>
      <c r="G12" s="195">
        <v>0.71099999999999997</v>
      </c>
      <c r="H12" s="195">
        <v>0.66600000000000004</v>
      </c>
      <c r="I12" s="195">
        <v>0.57599999999999996</v>
      </c>
      <c r="J12" s="195">
        <v>0.44400000000000001</v>
      </c>
      <c r="K12" s="195">
        <v>2.0099999999999998</v>
      </c>
      <c r="L12" s="195">
        <v>1.77</v>
      </c>
      <c r="M12" s="195">
        <v>1.54</v>
      </c>
      <c r="N12" s="194">
        <f t="shared" si="0"/>
        <v>3.9748427672955979E-3</v>
      </c>
      <c r="O12" s="194">
        <f t="shared" si="1"/>
        <v>3.9701492537313433E-3</v>
      </c>
      <c r="P12" s="194">
        <f t="shared" si="2"/>
        <v>3.9784946236559142E-3</v>
      </c>
      <c r="Q12" s="194">
        <f t="shared" si="3"/>
        <v>3.9820627802690583E-3</v>
      </c>
      <c r="R12" s="194">
        <f t="shared" si="4"/>
        <v>3.9720670391061447E-3</v>
      </c>
      <c r="S12" s="194">
        <f t="shared" si="5"/>
        <v>3.9880239520958087E-3</v>
      </c>
      <c r="T12" s="194">
        <f t="shared" si="6"/>
        <v>3.9724137931034477E-3</v>
      </c>
      <c r="U12" s="194">
        <f t="shared" si="7"/>
        <v>3.9642857142857145E-3</v>
      </c>
      <c r="V12" s="194">
        <f t="shared" si="8"/>
        <v>3.9880952380952376E-3</v>
      </c>
      <c r="W12" s="194">
        <f t="shared" si="9"/>
        <v>3.9775280898876409E-3</v>
      </c>
      <c r="X12" s="194">
        <f t="shared" si="10"/>
        <v>3.9896373056994821E-3</v>
      </c>
      <c r="Y12" s="271">
        <f t="shared" si="11"/>
        <v>3.9779636870204901E-3</v>
      </c>
    </row>
    <row r="13" spans="1:26" x14ac:dyDescent="0.25">
      <c r="A13" s="279" t="s">
        <v>619</v>
      </c>
      <c r="B13" s="279" t="s">
        <v>460</v>
      </c>
      <c r="C13" s="278">
        <v>6.37</v>
      </c>
      <c r="D13" s="195">
        <v>13.4</v>
      </c>
      <c r="E13" s="195">
        <v>11.2</v>
      </c>
      <c r="F13" s="195">
        <v>8.9499999999999993</v>
      </c>
      <c r="G13" s="195">
        <v>7.16</v>
      </c>
      <c r="H13" s="195">
        <v>6.71</v>
      </c>
      <c r="I13" s="195">
        <v>5.81</v>
      </c>
      <c r="J13" s="195">
        <v>4.47</v>
      </c>
      <c r="K13" s="195">
        <v>20.2</v>
      </c>
      <c r="L13" s="195">
        <v>17.899999999999999</v>
      </c>
      <c r="M13" s="195">
        <v>15.5</v>
      </c>
      <c r="N13" s="194">
        <f t="shared" si="0"/>
        <v>4.006289308176101E-2</v>
      </c>
      <c r="O13" s="194">
        <f t="shared" si="1"/>
        <v>0.04</v>
      </c>
      <c r="P13" s="194">
        <f t="shared" si="2"/>
        <v>4.014336917562724E-2</v>
      </c>
      <c r="Q13" s="194">
        <f t="shared" si="3"/>
        <v>4.0134529147982059E-2</v>
      </c>
      <c r="R13" s="194">
        <f t="shared" si="4"/>
        <v>0.04</v>
      </c>
      <c r="S13" s="194">
        <f t="shared" si="5"/>
        <v>4.0179640718562872E-2</v>
      </c>
      <c r="T13" s="194">
        <f t="shared" si="6"/>
        <v>4.006896551724138E-2</v>
      </c>
      <c r="U13" s="194">
        <f t="shared" si="7"/>
        <v>3.9910714285714285E-2</v>
      </c>
      <c r="V13" s="194">
        <f t="shared" si="8"/>
        <v>4.0079365079365076E-2</v>
      </c>
      <c r="W13" s="194">
        <f t="shared" si="9"/>
        <v>4.0224719101123595E-2</v>
      </c>
      <c r="X13" s="194">
        <f t="shared" si="10"/>
        <v>4.0155440414507769E-2</v>
      </c>
      <c r="Y13" s="271">
        <f t="shared" si="11"/>
        <v>4.008723968380775E-2</v>
      </c>
    </row>
    <row r="14" spans="1:26" x14ac:dyDescent="0.25">
      <c r="A14" s="279" t="s">
        <v>618</v>
      </c>
      <c r="B14" s="279" t="s">
        <v>461</v>
      </c>
      <c r="C14" s="278">
        <v>2.1800000000000002</v>
      </c>
      <c r="D14" s="195">
        <v>4.59</v>
      </c>
      <c r="E14" s="195">
        <v>3.82</v>
      </c>
      <c r="F14" s="195">
        <v>3.06</v>
      </c>
      <c r="G14" s="195">
        <v>2.4500000000000002</v>
      </c>
      <c r="H14" s="195">
        <v>2.29</v>
      </c>
      <c r="I14" s="195">
        <v>1.98</v>
      </c>
      <c r="J14" s="195">
        <v>1.53</v>
      </c>
      <c r="K14" s="195">
        <v>6.91</v>
      </c>
      <c r="L14" s="195">
        <v>6.1</v>
      </c>
      <c r="M14" s="195">
        <v>5.29</v>
      </c>
      <c r="N14" s="194">
        <f t="shared" si="0"/>
        <v>1.3710691823899373E-2</v>
      </c>
      <c r="O14" s="194">
        <f t="shared" si="1"/>
        <v>1.3701492537313432E-2</v>
      </c>
      <c r="P14" s="194">
        <f t="shared" si="2"/>
        <v>1.3691756272401432E-2</v>
      </c>
      <c r="Q14" s="194">
        <f t="shared" si="3"/>
        <v>1.3721973094170404E-2</v>
      </c>
      <c r="R14" s="194">
        <f t="shared" si="4"/>
        <v>1.3687150837988828E-2</v>
      </c>
      <c r="S14" s="194">
        <f t="shared" si="5"/>
        <v>1.3712574850299402E-2</v>
      </c>
      <c r="T14" s="194">
        <f t="shared" si="6"/>
        <v>1.3655172413793104E-2</v>
      </c>
      <c r="U14" s="194">
        <f t="shared" si="7"/>
        <v>1.3660714285714286E-2</v>
      </c>
      <c r="V14" s="194">
        <f t="shared" si="8"/>
        <v>1.3710317460317461E-2</v>
      </c>
      <c r="W14" s="194">
        <f t="shared" si="9"/>
        <v>1.3707865168539324E-2</v>
      </c>
      <c r="X14" s="194">
        <f t="shared" si="10"/>
        <v>1.3704663212435233E-2</v>
      </c>
      <c r="Y14" s="271">
        <f t="shared" si="11"/>
        <v>1.369676108698839E-2</v>
      </c>
    </row>
    <row r="15" spans="1:26" x14ac:dyDescent="0.25">
      <c r="A15" s="279" t="s">
        <v>617</v>
      </c>
      <c r="B15" s="279" t="s">
        <v>462</v>
      </c>
      <c r="C15" s="278">
        <v>3.27</v>
      </c>
      <c r="D15" s="195">
        <v>6.9</v>
      </c>
      <c r="E15" s="195">
        <v>5.75</v>
      </c>
      <c r="F15" s="195">
        <v>4.5999999999999996</v>
      </c>
      <c r="G15" s="195">
        <v>3.68</v>
      </c>
      <c r="H15" s="195">
        <v>3.45</v>
      </c>
      <c r="I15" s="195">
        <v>2.98</v>
      </c>
      <c r="J15" s="195">
        <v>2.2999999999999998</v>
      </c>
      <c r="K15" s="195">
        <v>10.4</v>
      </c>
      <c r="L15" s="195">
        <v>9.17</v>
      </c>
      <c r="M15" s="195">
        <v>7.95</v>
      </c>
      <c r="N15" s="194">
        <f t="shared" si="0"/>
        <v>2.0566037735849058E-2</v>
      </c>
      <c r="O15" s="194">
        <f t="shared" si="1"/>
        <v>2.0597014925373136E-2</v>
      </c>
      <c r="P15" s="194">
        <f t="shared" si="2"/>
        <v>2.0609318996415771E-2</v>
      </c>
      <c r="Q15" s="194">
        <f t="shared" si="3"/>
        <v>2.062780269058296E-2</v>
      </c>
      <c r="R15" s="194">
        <f t="shared" si="4"/>
        <v>2.0558659217877095E-2</v>
      </c>
      <c r="S15" s="194">
        <f t="shared" si="5"/>
        <v>2.065868263473054E-2</v>
      </c>
      <c r="T15" s="194">
        <f t="shared" si="6"/>
        <v>2.0551724137931035E-2</v>
      </c>
      <c r="U15" s="194">
        <f t="shared" si="7"/>
        <v>2.0535714285714286E-2</v>
      </c>
      <c r="V15" s="194">
        <f t="shared" si="8"/>
        <v>2.0634920634920634E-2</v>
      </c>
      <c r="W15" s="194">
        <f t="shared" si="9"/>
        <v>2.0606741573033709E-2</v>
      </c>
      <c r="X15" s="194">
        <f t="shared" si="10"/>
        <v>2.0595854922279794E-2</v>
      </c>
      <c r="Y15" s="271">
        <f t="shared" si="11"/>
        <v>2.0594770159518914E-2</v>
      </c>
    </row>
    <row r="16" spans="1:26" x14ac:dyDescent="0.25">
      <c r="A16" s="279" t="s">
        <v>616</v>
      </c>
      <c r="B16" s="279" t="s">
        <v>463</v>
      </c>
      <c r="C16" s="278">
        <v>0.16200000000000001</v>
      </c>
      <c r="D16" s="195">
        <v>0.34200000000000003</v>
      </c>
      <c r="E16" s="195">
        <v>0.28499999999999998</v>
      </c>
      <c r="F16" s="195">
        <v>0.22800000000000001</v>
      </c>
      <c r="G16" s="195">
        <v>0.183</v>
      </c>
      <c r="H16" s="195">
        <v>0.17100000000000001</v>
      </c>
      <c r="I16" s="195">
        <v>0.14799999999999999</v>
      </c>
      <c r="J16" s="195">
        <v>0.114</v>
      </c>
      <c r="K16" s="195">
        <v>0.51600000000000001</v>
      </c>
      <c r="L16" s="195">
        <v>0.45500000000000002</v>
      </c>
      <c r="M16" s="195">
        <v>0.39400000000000002</v>
      </c>
      <c r="N16" s="194">
        <f t="shared" si="0"/>
        <v>1.0188679245283019E-3</v>
      </c>
      <c r="O16" s="194">
        <f t="shared" si="1"/>
        <v>1.0208955223880599E-3</v>
      </c>
      <c r="P16" s="194">
        <f t="shared" si="2"/>
        <v>1.0215053763440859E-3</v>
      </c>
      <c r="Q16" s="194">
        <f t="shared" si="3"/>
        <v>1.0224215246636772E-3</v>
      </c>
      <c r="R16" s="194">
        <f t="shared" si="4"/>
        <v>1.0223463687150838E-3</v>
      </c>
      <c r="S16" s="194">
        <f t="shared" si="5"/>
        <v>1.0239520958083832E-3</v>
      </c>
      <c r="T16" s="194">
        <f t="shared" si="6"/>
        <v>1.0206896551724137E-3</v>
      </c>
      <c r="U16" s="194">
        <f t="shared" si="7"/>
        <v>1.0178571428571428E-3</v>
      </c>
      <c r="V16" s="194">
        <f t="shared" si="8"/>
        <v>1.0238095238095238E-3</v>
      </c>
      <c r="W16" s="194">
        <f t="shared" si="9"/>
        <v>1.0224719101123597E-3</v>
      </c>
      <c r="X16" s="194">
        <f t="shared" si="10"/>
        <v>1.0207253886010362E-3</v>
      </c>
      <c r="Y16" s="271">
        <f t="shared" si="11"/>
        <v>1.0214129484545516E-3</v>
      </c>
    </row>
    <row r="17" spans="1:28" x14ac:dyDescent="0.25">
      <c r="A17" s="279" t="s">
        <v>615</v>
      </c>
      <c r="B17" s="279"/>
      <c r="C17" s="278">
        <v>4.4800000000000004</v>
      </c>
      <c r="D17" s="195">
        <v>9.44</v>
      </c>
      <c r="E17" s="195">
        <v>7.87</v>
      </c>
      <c r="F17" s="195">
        <v>6.3</v>
      </c>
      <c r="G17" s="195">
        <v>5.04</v>
      </c>
      <c r="H17" s="195">
        <v>4.72</v>
      </c>
      <c r="I17" s="195">
        <v>4.09</v>
      </c>
      <c r="J17" s="195">
        <v>3.15</v>
      </c>
      <c r="K17" s="195">
        <v>14.2</v>
      </c>
      <c r="L17" s="195">
        <v>12.6</v>
      </c>
      <c r="M17" s="195">
        <v>10.9</v>
      </c>
      <c r="N17" s="194">
        <f t="shared" si="0"/>
        <v>2.817610062893082E-2</v>
      </c>
      <c r="O17" s="194">
        <f t="shared" si="1"/>
        <v>2.817910447761194E-2</v>
      </c>
      <c r="P17" s="194">
        <f t="shared" si="2"/>
        <v>2.8207885304659498E-2</v>
      </c>
      <c r="Q17" s="194">
        <f t="shared" si="3"/>
        <v>2.8251121076233184E-2</v>
      </c>
      <c r="R17" s="194">
        <f t="shared" si="4"/>
        <v>2.8156424581005587E-2</v>
      </c>
      <c r="S17" s="194">
        <f t="shared" si="5"/>
        <v>2.8263473053892214E-2</v>
      </c>
      <c r="T17" s="194">
        <f t="shared" si="6"/>
        <v>2.8206896551724137E-2</v>
      </c>
      <c r="U17" s="194">
        <f t="shared" si="7"/>
        <v>2.8125000000000001E-2</v>
      </c>
      <c r="V17" s="194">
        <f t="shared" si="8"/>
        <v>2.8174603174603172E-2</v>
      </c>
      <c r="W17" s="194">
        <f t="shared" si="9"/>
        <v>2.8314606741573031E-2</v>
      </c>
      <c r="X17" s="194">
        <f t="shared" si="10"/>
        <v>2.823834196891192E-2</v>
      </c>
      <c r="Y17" s="193">
        <f t="shared" si="11"/>
        <v>2.8208505232649592E-2</v>
      </c>
    </row>
    <row r="18" spans="1:28" x14ac:dyDescent="0.25">
      <c r="A18" s="279" t="s">
        <v>614</v>
      </c>
      <c r="B18" s="279" t="s">
        <v>464</v>
      </c>
      <c r="C18" s="278">
        <v>7.7</v>
      </c>
      <c r="D18" s="195">
        <v>16.2</v>
      </c>
      <c r="E18" s="195">
        <v>13.5</v>
      </c>
      <c r="F18" s="195">
        <v>10.8</v>
      </c>
      <c r="G18" s="195">
        <v>8.67</v>
      </c>
      <c r="H18" s="195">
        <v>8.1199999999999992</v>
      </c>
      <c r="I18" s="195">
        <v>7.03</v>
      </c>
      <c r="J18" s="195">
        <v>5.41</v>
      </c>
      <c r="K18" s="195">
        <v>24.5</v>
      </c>
      <c r="L18" s="195">
        <v>21.6</v>
      </c>
      <c r="M18" s="195">
        <v>18.7</v>
      </c>
      <c r="N18" s="194">
        <f t="shared" si="0"/>
        <v>4.8427672955974846E-2</v>
      </c>
      <c r="O18" s="194">
        <f t="shared" si="1"/>
        <v>4.8358208955223879E-2</v>
      </c>
      <c r="P18" s="194">
        <f t="shared" si="2"/>
        <v>4.8387096774193547E-2</v>
      </c>
      <c r="Q18" s="194">
        <f t="shared" si="3"/>
        <v>4.8430493273542603E-2</v>
      </c>
      <c r="R18" s="194">
        <f t="shared" si="4"/>
        <v>4.8435754189944134E-2</v>
      </c>
      <c r="S18" s="194">
        <f t="shared" si="5"/>
        <v>4.862275449101796E-2</v>
      </c>
      <c r="T18" s="194">
        <f t="shared" si="6"/>
        <v>4.848275862068966E-2</v>
      </c>
      <c r="U18" s="194">
        <f t="shared" si="7"/>
        <v>4.8303571428571432E-2</v>
      </c>
      <c r="V18" s="194">
        <f t="shared" si="8"/>
        <v>4.8611111111111112E-2</v>
      </c>
      <c r="W18" s="194">
        <f t="shared" si="9"/>
        <v>4.8539325842696629E-2</v>
      </c>
      <c r="X18" s="194">
        <f t="shared" si="10"/>
        <v>4.844559585492228E-2</v>
      </c>
      <c r="Y18" s="271">
        <f t="shared" si="11"/>
        <v>4.8458576681626189E-2</v>
      </c>
    </row>
    <row r="19" spans="1:28" x14ac:dyDescent="0.25">
      <c r="A19" s="279" t="s">
        <v>613</v>
      </c>
      <c r="B19" s="279" t="s">
        <v>465</v>
      </c>
      <c r="C19" s="278">
        <v>12.8</v>
      </c>
      <c r="D19" s="195">
        <v>26.9</v>
      </c>
      <c r="E19" s="195">
        <v>22.4</v>
      </c>
      <c r="F19" s="195">
        <v>17.899999999999999</v>
      </c>
      <c r="G19" s="195">
        <v>14.4</v>
      </c>
      <c r="H19" s="195">
        <v>13.4</v>
      </c>
      <c r="I19" s="195">
        <v>11.6</v>
      </c>
      <c r="J19" s="195">
        <v>8.9600000000000009</v>
      </c>
      <c r="K19" s="195">
        <v>40.5</v>
      </c>
      <c r="L19" s="195">
        <v>35.799999999999997</v>
      </c>
      <c r="M19" s="195">
        <v>31</v>
      </c>
      <c r="N19" s="194">
        <f t="shared" si="0"/>
        <v>8.050314465408806E-2</v>
      </c>
      <c r="O19" s="194">
        <f t="shared" si="1"/>
        <v>8.0298507462686561E-2</v>
      </c>
      <c r="P19" s="194">
        <f t="shared" si="2"/>
        <v>8.028673835125448E-2</v>
      </c>
      <c r="Q19" s="194">
        <f t="shared" si="3"/>
        <v>8.0269058295964119E-2</v>
      </c>
      <c r="R19" s="194">
        <f t="shared" si="4"/>
        <v>8.0446927374301674E-2</v>
      </c>
      <c r="S19" s="194">
        <f t="shared" si="5"/>
        <v>8.0239520958083829E-2</v>
      </c>
      <c r="T19" s="194">
        <f t="shared" si="6"/>
        <v>0.08</v>
      </c>
      <c r="U19" s="194">
        <f t="shared" si="7"/>
        <v>0.08</v>
      </c>
      <c r="V19" s="194">
        <f t="shared" si="8"/>
        <v>8.0357142857142863E-2</v>
      </c>
      <c r="W19" s="194">
        <f t="shared" si="9"/>
        <v>8.0449438202247189E-2</v>
      </c>
      <c r="X19" s="194">
        <f t="shared" si="10"/>
        <v>8.0310880829015538E-2</v>
      </c>
      <c r="Y19" s="271">
        <f>AVERAGE(N19:X19)+Y20</f>
        <v>0.85529496057371279</v>
      </c>
    </row>
    <row r="20" spans="1:28" x14ac:dyDescent="0.25">
      <c r="A20" s="279" t="s">
        <v>612</v>
      </c>
      <c r="B20" s="279"/>
      <c r="C20" s="278">
        <v>123</v>
      </c>
      <c r="D20" s="195">
        <v>260</v>
      </c>
      <c r="E20" s="195">
        <v>216</v>
      </c>
      <c r="F20" s="195">
        <v>173</v>
      </c>
      <c r="G20" s="195">
        <v>139</v>
      </c>
      <c r="H20" s="195">
        <v>130</v>
      </c>
      <c r="I20" s="195">
        <v>112</v>
      </c>
      <c r="J20" s="195">
        <v>86.5</v>
      </c>
      <c r="K20" s="195">
        <v>391</v>
      </c>
      <c r="L20" s="195">
        <v>345</v>
      </c>
      <c r="M20" s="195">
        <v>299</v>
      </c>
      <c r="N20" s="194">
        <f t="shared" si="0"/>
        <v>0.77358490566037741</v>
      </c>
      <c r="O20" s="194">
        <f t="shared" si="1"/>
        <v>0.77611940298507465</v>
      </c>
      <c r="P20" s="194">
        <f t="shared" si="2"/>
        <v>0.77419354838709675</v>
      </c>
      <c r="Q20" s="194">
        <f t="shared" si="3"/>
        <v>0.77578475336322872</v>
      </c>
      <c r="R20" s="194">
        <f t="shared" si="4"/>
        <v>0.77653631284916202</v>
      </c>
      <c r="S20" s="194">
        <f t="shared" si="5"/>
        <v>0.77844311377245512</v>
      </c>
      <c r="T20" s="194">
        <f t="shared" si="6"/>
        <v>0.77241379310344827</v>
      </c>
      <c r="U20" s="194">
        <f t="shared" si="7"/>
        <v>0.7723214285714286</v>
      </c>
      <c r="V20" s="194">
        <f t="shared" si="8"/>
        <v>0.77579365079365081</v>
      </c>
      <c r="W20" s="194">
        <f t="shared" si="9"/>
        <v>0.7752808988764045</v>
      </c>
      <c r="X20" s="194">
        <f t="shared" si="10"/>
        <v>0.77461139896373055</v>
      </c>
      <c r="Y20" s="193">
        <f t="shared" si="11"/>
        <v>0.77500756430236883</v>
      </c>
    </row>
    <row r="21" spans="1:28" x14ac:dyDescent="0.25">
      <c r="A21" s="279" t="s">
        <v>611</v>
      </c>
      <c r="B21" s="279"/>
      <c r="C21" s="280"/>
      <c r="D21" s="195"/>
      <c r="E21" s="195"/>
      <c r="F21" s="195"/>
      <c r="G21" s="195"/>
      <c r="H21" s="195"/>
      <c r="I21" s="195"/>
      <c r="J21" s="195"/>
      <c r="K21" s="196"/>
      <c r="L21" s="196"/>
      <c r="M21" s="196"/>
      <c r="N21" s="194"/>
      <c r="O21" s="194"/>
      <c r="P21" s="194"/>
      <c r="Q21" s="194"/>
      <c r="R21" s="194"/>
      <c r="S21" s="194"/>
      <c r="T21" s="194"/>
      <c r="U21" s="194"/>
      <c r="V21" s="194"/>
      <c r="W21" s="194"/>
      <c r="X21" s="194"/>
      <c r="Y21" s="193"/>
    </row>
    <row r="22" spans="1:28" x14ac:dyDescent="0.25">
      <c r="A22" s="279" t="s">
        <v>610</v>
      </c>
      <c r="B22" s="279"/>
      <c r="C22" s="278">
        <v>4.6800000000000001E-2</v>
      </c>
      <c r="D22" s="195">
        <v>9.8699999999999996E-2</v>
      </c>
      <c r="E22" s="195">
        <v>8.2299999999999998E-2</v>
      </c>
      <c r="F22" s="195">
        <v>6.5799999999999997E-2</v>
      </c>
      <c r="G22" s="195">
        <v>5.2699999999999997E-2</v>
      </c>
      <c r="H22" s="195">
        <v>4.9399999999999999E-2</v>
      </c>
      <c r="I22" s="195">
        <v>4.2700000000000002E-2</v>
      </c>
      <c r="J22" s="195">
        <v>3.2899999999999999E-2</v>
      </c>
      <c r="K22" s="195">
        <v>0.14899999999999999</v>
      </c>
      <c r="L22" s="195">
        <v>0.13100000000000001</v>
      </c>
      <c r="M22" s="195">
        <v>0.114</v>
      </c>
      <c r="N22" s="194">
        <f t="shared" ref="N22:X29" si="12">C22/C$3</f>
        <v>2.9433962264150944E-4</v>
      </c>
      <c r="O22" s="194">
        <f t="shared" si="12"/>
        <v>2.9462686567164177E-4</v>
      </c>
      <c r="P22" s="194">
        <f t="shared" si="12"/>
        <v>2.949820788530466E-4</v>
      </c>
      <c r="Q22" s="194">
        <f t="shared" si="12"/>
        <v>2.9506726457399101E-4</v>
      </c>
      <c r="R22" s="194">
        <f t="shared" si="12"/>
        <v>2.9441340782122903E-4</v>
      </c>
      <c r="S22" s="194">
        <f t="shared" si="12"/>
        <v>2.958083832335329E-4</v>
      </c>
      <c r="T22" s="194">
        <f t="shared" si="12"/>
        <v>2.9448275862068969E-4</v>
      </c>
      <c r="U22" s="194">
        <f t="shared" si="12"/>
        <v>2.9375000000000001E-4</v>
      </c>
      <c r="V22" s="194">
        <f t="shared" si="12"/>
        <v>2.9563492063492064E-4</v>
      </c>
      <c r="W22" s="194">
        <f t="shared" si="12"/>
        <v>2.9438202247191012E-4</v>
      </c>
      <c r="X22" s="194">
        <f t="shared" si="12"/>
        <v>2.9533678756476687E-4</v>
      </c>
      <c r="Y22" s="193">
        <f t="shared" ref="Y22:Y29" si="13">AVERAGE(N22:X22)</f>
        <v>2.948021920079307E-4</v>
      </c>
    </row>
    <row r="23" spans="1:28" x14ac:dyDescent="0.25">
      <c r="A23" s="279" t="s">
        <v>609</v>
      </c>
      <c r="B23" s="279"/>
      <c r="C23" s="278">
        <v>9.9599999999999994E-2</v>
      </c>
      <c r="D23" s="195">
        <v>0.21</v>
      </c>
      <c r="E23" s="195">
        <v>0.17499999999999999</v>
      </c>
      <c r="F23" s="195">
        <v>0.14000000000000001</v>
      </c>
      <c r="G23" s="195">
        <v>0.112</v>
      </c>
      <c r="H23" s="195">
        <v>0.105</v>
      </c>
      <c r="I23" s="195">
        <v>9.0800000000000006E-2</v>
      </c>
      <c r="J23" s="195">
        <v>6.9900000000000004E-2</v>
      </c>
      <c r="K23" s="195">
        <v>0.316</v>
      </c>
      <c r="L23" s="195">
        <v>0.27900000000000003</v>
      </c>
      <c r="M23" s="195">
        <v>0.24199999999999999</v>
      </c>
      <c r="N23" s="194">
        <f t="shared" si="12"/>
        <v>6.2641509433962255E-4</v>
      </c>
      <c r="O23" s="194">
        <f t="shared" si="12"/>
        <v>6.2686567164179101E-4</v>
      </c>
      <c r="P23" s="194">
        <f t="shared" si="12"/>
        <v>6.2724014336917563E-4</v>
      </c>
      <c r="Q23" s="194">
        <f t="shared" si="12"/>
        <v>6.2780269058295974E-4</v>
      </c>
      <c r="R23" s="194">
        <f t="shared" si="12"/>
        <v>6.2569832402234633E-4</v>
      </c>
      <c r="S23" s="194">
        <f t="shared" si="12"/>
        <v>6.2874251497005982E-4</v>
      </c>
      <c r="T23" s="194">
        <f t="shared" si="12"/>
        <v>6.2620689655172417E-4</v>
      </c>
      <c r="U23" s="194">
        <f t="shared" si="12"/>
        <v>6.2410714285714294E-4</v>
      </c>
      <c r="V23" s="194">
        <f t="shared" si="12"/>
        <v>6.2698412698412702E-4</v>
      </c>
      <c r="W23" s="194">
        <f t="shared" si="12"/>
        <v>6.2696629213483148E-4</v>
      </c>
      <c r="X23" s="194">
        <f t="shared" si="12"/>
        <v>6.2694300518134714E-4</v>
      </c>
      <c r="Y23" s="193">
        <f t="shared" si="13"/>
        <v>6.2672471842137529E-4</v>
      </c>
    </row>
    <row r="24" spans="1:28" x14ac:dyDescent="0.25">
      <c r="A24" s="279" t="s">
        <v>608</v>
      </c>
      <c r="B24" s="279"/>
      <c r="C24" s="278">
        <v>2.2200000000000001E-2</v>
      </c>
      <c r="D24" s="195">
        <v>4.6800000000000001E-2</v>
      </c>
      <c r="E24" s="195">
        <v>3.9E-2</v>
      </c>
      <c r="F24" s="195">
        <v>3.1199999999999999E-2</v>
      </c>
      <c r="G24" s="195">
        <v>2.5000000000000001E-2</v>
      </c>
      <c r="H24" s="195">
        <v>2.3400000000000001E-2</v>
      </c>
      <c r="I24" s="195">
        <v>2.0299999999999999E-2</v>
      </c>
      <c r="J24" s="195">
        <v>1.5599999999999999E-2</v>
      </c>
      <c r="K24" s="195">
        <v>7.0599999999999996E-2</v>
      </c>
      <c r="L24" s="195">
        <v>6.2300000000000001E-2</v>
      </c>
      <c r="M24" s="195">
        <v>5.3999999999999999E-2</v>
      </c>
      <c r="N24" s="194">
        <f t="shared" si="12"/>
        <v>1.3962264150943398E-4</v>
      </c>
      <c r="O24" s="194">
        <f t="shared" si="12"/>
        <v>1.3970149253731345E-4</v>
      </c>
      <c r="P24" s="194">
        <f t="shared" si="12"/>
        <v>1.3978494623655913E-4</v>
      </c>
      <c r="Q24" s="194">
        <f t="shared" si="12"/>
        <v>1.3991031390134527E-4</v>
      </c>
      <c r="R24" s="194">
        <f t="shared" si="12"/>
        <v>1.3966480446927376E-4</v>
      </c>
      <c r="S24" s="194">
        <f t="shared" si="12"/>
        <v>1.4011976047904193E-4</v>
      </c>
      <c r="T24" s="194">
        <f t="shared" si="12"/>
        <v>1.3999999999999999E-4</v>
      </c>
      <c r="U24" s="194">
        <f t="shared" si="12"/>
        <v>1.3928571428571427E-4</v>
      </c>
      <c r="V24" s="194">
        <f t="shared" si="12"/>
        <v>1.4007936507936508E-4</v>
      </c>
      <c r="W24" s="194">
        <f t="shared" si="12"/>
        <v>1.4000000000000001E-4</v>
      </c>
      <c r="X24" s="194">
        <f t="shared" si="12"/>
        <v>1.398963730569948E-4</v>
      </c>
      <c r="Y24" s="193">
        <f t="shared" si="13"/>
        <v>1.3982412832318558E-4</v>
      </c>
      <c r="AB24" t="s">
        <v>607</v>
      </c>
    </row>
    <row r="25" spans="1:28" x14ac:dyDescent="0.25">
      <c r="A25" s="279" t="s">
        <v>606</v>
      </c>
      <c r="B25" s="279"/>
      <c r="C25" s="278">
        <v>5.7200000000000001E-2</v>
      </c>
      <c r="D25" s="195">
        <v>0.12</v>
      </c>
      <c r="E25" s="195">
        <v>0.1</v>
      </c>
      <c r="F25" s="195">
        <v>8.0299999999999996E-2</v>
      </c>
      <c r="G25" s="195">
        <v>6.4299999999999996E-2</v>
      </c>
      <c r="H25" s="195">
        <v>6.0199999999999997E-2</v>
      </c>
      <c r="I25" s="195">
        <v>5.21E-2</v>
      </c>
      <c r="J25" s="195">
        <v>4.02E-2</v>
      </c>
      <c r="K25" s="195">
        <v>0.182</v>
      </c>
      <c r="L25" s="195">
        <v>0.16</v>
      </c>
      <c r="M25" s="195">
        <v>0.13900000000000001</v>
      </c>
      <c r="N25" s="194">
        <f t="shared" si="12"/>
        <v>3.5974842767295598E-4</v>
      </c>
      <c r="O25" s="194">
        <f t="shared" si="12"/>
        <v>3.5820895522388057E-4</v>
      </c>
      <c r="P25" s="194">
        <f t="shared" si="12"/>
        <v>3.5842293906810036E-4</v>
      </c>
      <c r="Q25" s="194">
        <f t="shared" si="12"/>
        <v>3.6008968609865468E-4</v>
      </c>
      <c r="R25" s="194">
        <f t="shared" si="12"/>
        <v>3.5921787709497206E-4</v>
      </c>
      <c r="S25" s="194">
        <f t="shared" si="12"/>
        <v>3.6047904191616767E-4</v>
      </c>
      <c r="T25" s="194">
        <f t="shared" si="12"/>
        <v>3.5931034482758619E-4</v>
      </c>
      <c r="U25" s="194">
        <f t="shared" si="12"/>
        <v>3.589285714285714E-4</v>
      </c>
      <c r="V25" s="194">
        <f t="shared" si="12"/>
        <v>3.6111111111111109E-4</v>
      </c>
      <c r="W25" s="194">
        <f t="shared" si="12"/>
        <v>3.5955056179775283E-4</v>
      </c>
      <c r="X25" s="194">
        <f t="shared" si="12"/>
        <v>3.6010362694300523E-4</v>
      </c>
      <c r="Y25" s="193">
        <f t="shared" si="13"/>
        <v>3.5956101301661431E-4</v>
      </c>
      <c r="AB25" t="s">
        <v>605</v>
      </c>
    </row>
    <row r="26" spans="1:28" x14ac:dyDescent="0.25">
      <c r="A26" s="279" t="s">
        <v>604</v>
      </c>
      <c r="B26" s="279"/>
      <c r="C26" s="278">
        <v>3.0599999999999998E-3</v>
      </c>
      <c r="D26" s="195">
        <v>6.4400000000000004E-3</v>
      </c>
      <c r="E26" s="195">
        <v>5.3699999999999998E-3</v>
      </c>
      <c r="F26" s="195">
        <v>4.3E-3</v>
      </c>
      <c r="G26" s="195">
        <v>3.4399999999999999E-3</v>
      </c>
      <c r="H26" s="195">
        <v>3.2200000000000002E-3</v>
      </c>
      <c r="I26" s="195">
        <v>2.7899999999999999E-3</v>
      </c>
      <c r="J26" s="195">
        <v>2.15E-3</v>
      </c>
      <c r="K26" s="195">
        <v>9.7099999999999999E-3</v>
      </c>
      <c r="L26" s="195">
        <v>8.5699999999999995E-3</v>
      </c>
      <c r="M26" s="195">
        <v>7.43E-3</v>
      </c>
      <c r="N26" s="194">
        <f t="shared" si="12"/>
        <v>1.9245283018867924E-5</v>
      </c>
      <c r="O26" s="194">
        <f t="shared" si="12"/>
        <v>1.9223880597014926E-5</v>
      </c>
      <c r="P26" s="194">
        <f t="shared" si="12"/>
        <v>1.9247311827956987E-5</v>
      </c>
      <c r="Q26" s="194">
        <f t="shared" si="12"/>
        <v>1.9282511210762333E-5</v>
      </c>
      <c r="R26" s="194">
        <f t="shared" si="12"/>
        <v>1.9217877094972066E-5</v>
      </c>
      <c r="S26" s="194">
        <f t="shared" si="12"/>
        <v>1.9281437125748505E-5</v>
      </c>
      <c r="T26" s="194">
        <f t="shared" si="12"/>
        <v>1.9241379310344826E-5</v>
      </c>
      <c r="U26" s="194">
        <f t="shared" si="12"/>
        <v>1.919642857142857E-5</v>
      </c>
      <c r="V26" s="194">
        <f t="shared" si="12"/>
        <v>1.9265873015873015E-5</v>
      </c>
      <c r="W26" s="194">
        <f t="shared" si="12"/>
        <v>1.9258426966292133E-5</v>
      </c>
      <c r="X26" s="194">
        <f t="shared" si="12"/>
        <v>1.9248704663212434E-5</v>
      </c>
      <c r="Y26" s="193">
        <f t="shared" si="13"/>
        <v>1.9246283036588519E-5</v>
      </c>
      <c r="AB26" t="s">
        <v>603</v>
      </c>
    </row>
    <row r="27" spans="1:28" x14ac:dyDescent="0.25">
      <c r="A27" s="279" t="s">
        <v>602</v>
      </c>
      <c r="B27" s="279"/>
      <c r="C27" s="278">
        <v>2.06E-2</v>
      </c>
      <c r="D27" s="195">
        <v>4.3499999999999997E-2</v>
      </c>
      <c r="E27" s="195">
        <v>3.6200000000000003E-2</v>
      </c>
      <c r="F27" s="195">
        <v>2.9000000000000001E-2</v>
      </c>
      <c r="G27" s="195">
        <v>2.3199999999999998E-2</v>
      </c>
      <c r="H27" s="195">
        <v>2.1700000000000001E-2</v>
      </c>
      <c r="I27" s="195">
        <v>1.8800000000000001E-2</v>
      </c>
      <c r="J27" s="195">
        <v>1.4500000000000001E-2</v>
      </c>
      <c r="K27" s="195">
        <v>6.5600000000000006E-2</v>
      </c>
      <c r="L27" s="195">
        <v>5.7799999999999997E-2</v>
      </c>
      <c r="M27" s="195">
        <v>5.0099999999999999E-2</v>
      </c>
      <c r="N27" s="194">
        <f t="shared" si="12"/>
        <v>1.2955974842767296E-4</v>
      </c>
      <c r="O27" s="194">
        <f t="shared" si="12"/>
        <v>1.2985074626865672E-4</v>
      </c>
      <c r="P27" s="194">
        <f t="shared" si="12"/>
        <v>1.2974910394265233E-4</v>
      </c>
      <c r="Q27" s="194">
        <f t="shared" si="12"/>
        <v>1.3004484304932737E-4</v>
      </c>
      <c r="R27" s="194">
        <f t="shared" si="12"/>
        <v>1.2960893854748604E-4</v>
      </c>
      <c r="S27" s="194">
        <f t="shared" si="12"/>
        <v>1.2994011976047903E-4</v>
      </c>
      <c r="T27" s="194">
        <f t="shared" si="12"/>
        <v>1.296551724137931E-4</v>
      </c>
      <c r="U27" s="194">
        <f t="shared" si="12"/>
        <v>1.2946428571428573E-4</v>
      </c>
      <c r="V27" s="194">
        <f t="shared" si="12"/>
        <v>1.3015873015873017E-4</v>
      </c>
      <c r="W27" s="194">
        <f t="shared" si="12"/>
        <v>1.2988764044943819E-4</v>
      </c>
      <c r="X27" s="194">
        <f t="shared" si="12"/>
        <v>1.2979274611398962E-4</v>
      </c>
      <c r="Y27" s="193">
        <f t="shared" si="13"/>
        <v>1.2979200680422832E-4</v>
      </c>
      <c r="AB27" t="s">
        <v>601</v>
      </c>
    </row>
    <row r="28" spans="1:28" x14ac:dyDescent="0.25">
      <c r="A28" s="279" t="s">
        <v>600</v>
      </c>
      <c r="B28" s="279"/>
      <c r="C28" s="278">
        <v>0.108</v>
      </c>
      <c r="D28" s="195">
        <v>0.22800000000000001</v>
      </c>
      <c r="E28" s="195">
        <v>0.19</v>
      </c>
      <c r="F28" s="195">
        <v>0.152</v>
      </c>
      <c r="G28" s="195">
        <v>0.121</v>
      </c>
      <c r="H28" s="195">
        <v>0.114</v>
      </c>
      <c r="I28" s="195">
        <v>9.8400000000000001E-2</v>
      </c>
      <c r="J28" s="195">
        <v>7.5800000000000006E-2</v>
      </c>
      <c r="K28" s="195">
        <v>0.34300000000000003</v>
      </c>
      <c r="L28" s="195">
        <v>0.30299999999999999</v>
      </c>
      <c r="M28" s="195">
        <v>0.26200000000000001</v>
      </c>
      <c r="N28" s="194">
        <f t="shared" si="12"/>
        <v>6.7924528301886787E-4</v>
      </c>
      <c r="O28" s="194">
        <f t="shared" si="12"/>
        <v>6.8059701492537313E-4</v>
      </c>
      <c r="P28" s="194">
        <f t="shared" si="12"/>
        <v>6.8100358422939068E-4</v>
      </c>
      <c r="Q28" s="194">
        <f t="shared" si="12"/>
        <v>6.8161434977578471E-4</v>
      </c>
      <c r="R28" s="194">
        <f t="shared" si="12"/>
        <v>6.7597765363128486E-4</v>
      </c>
      <c r="S28" s="194">
        <f t="shared" si="12"/>
        <v>6.8263473053892221E-4</v>
      </c>
      <c r="T28" s="194">
        <f t="shared" si="12"/>
        <v>6.7862068965517238E-4</v>
      </c>
      <c r="U28" s="194">
        <f t="shared" si="12"/>
        <v>6.767857142857143E-4</v>
      </c>
      <c r="V28" s="194">
        <f t="shared" si="12"/>
        <v>6.8055555555555556E-4</v>
      </c>
      <c r="W28" s="194">
        <f t="shared" si="12"/>
        <v>6.8089887640449432E-4</v>
      </c>
      <c r="X28" s="194">
        <f t="shared" si="12"/>
        <v>6.7875647668393785E-4</v>
      </c>
      <c r="Y28" s="193">
        <f t="shared" si="13"/>
        <v>6.7969908442768151E-4</v>
      </c>
    </row>
    <row r="29" spans="1:28" x14ac:dyDescent="0.25">
      <c r="A29" s="279" t="s">
        <v>599</v>
      </c>
      <c r="B29" s="279"/>
      <c r="C29" s="278">
        <v>3.0400000000000002E-3</v>
      </c>
      <c r="D29" s="195">
        <v>6.4099999999999999E-3</v>
      </c>
      <c r="E29" s="195">
        <v>5.3400000000000001E-3</v>
      </c>
      <c r="F29" s="195">
        <v>4.2700000000000004E-3</v>
      </c>
      <c r="G29" s="195">
        <v>3.4199999999999999E-3</v>
      </c>
      <c r="H29" s="195">
        <v>3.2000000000000002E-3</v>
      </c>
      <c r="I29" s="195">
        <v>2.7699999999999999E-3</v>
      </c>
      <c r="J29" s="195">
        <v>2.14E-3</v>
      </c>
      <c r="K29" s="195">
        <v>9.6600000000000002E-3</v>
      </c>
      <c r="L29" s="195">
        <v>8.5199999999999998E-3</v>
      </c>
      <c r="M29" s="195">
        <v>7.3899999999999999E-3</v>
      </c>
      <c r="N29" s="194">
        <f t="shared" si="12"/>
        <v>1.9119496855345913E-5</v>
      </c>
      <c r="O29" s="194">
        <f t="shared" si="12"/>
        <v>1.9134328358208953E-5</v>
      </c>
      <c r="P29" s="194">
        <f t="shared" si="12"/>
        <v>1.9139784946236561E-5</v>
      </c>
      <c r="Q29" s="194">
        <f t="shared" si="12"/>
        <v>1.914798206278027E-5</v>
      </c>
      <c r="R29" s="194">
        <f t="shared" si="12"/>
        <v>1.9106145251396648E-5</v>
      </c>
      <c r="S29" s="194">
        <f t="shared" si="12"/>
        <v>1.9161676646706586E-5</v>
      </c>
      <c r="T29" s="194">
        <f t="shared" si="12"/>
        <v>1.9103448275862068E-5</v>
      </c>
      <c r="U29" s="194">
        <f t="shared" si="12"/>
        <v>1.9107142857142858E-5</v>
      </c>
      <c r="V29" s="194">
        <f t="shared" si="12"/>
        <v>1.9166666666666667E-5</v>
      </c>
      <c r="W29" s="194">
        <f t="shared" si="12"/>
        <v>1.9146067415730336E-5</v>
      </c>
      <c r="X29" s="194">
        <f t="shared" si="12"/>
        <v>1.9145077720207254E-5</v>
      </c>
      <c r="Y29" s="193">
        <f t="shared" si="13"/>
        <v>1.9134347005116736E-5</v>
      </c>
    </row>
    <row r="30" spans="1:28" x14ac:dyDescent="0.25">
      <c r="A30" s="279" t="s">
        <v>306</v>
      </c>
      <c r="B30" s="279"/>
      <c r="C30" s="280"/>
      <c r="D30" s="195"/>
      <c r="E30" s="195"/>
      <c r="F30" s="195"/>
      <c r="G30" s="195"/>
      <c r="H30" s="195"/>
      <c r="I30" s="195"/>
      <c r="J30" s="195"/>
      <c r="K30" s="196"/>
      <c r="L30" s="196"/>
      <c r="M30" s="196"/>
      <c r="N30" s="194"/>
      <c r="O30" s="194"/>
      <c r="P30" s="194"/>
      <c r="Q30" s="194"/>
      <c r="R30" s="194"/>
      <c r="S30" s="194"/>
      <c r="T30" s="194"/>
      <c r="U30" s="194"/>
      <c r="V30" s="194"/>
      <c r="W30" s="194"/>
      <c r="X30" s="194"/>
      <c r="Y30" s="193"/>
    </row>
    <row r="31" spans="1:28" x14ac:dyDescent="0.25">
      <c r="A31" s="279" t="s">
        <v>598</v>
      </c>
      <c r="B31" s="279" t="s">
        <v>466</v>
      </c>
      <c r="C31" s="278">
        <v>1.6E-2</v>
      </c>
      <c r="D31" s="195">
        <v>3.3700000000000001E-2</v>
      </c>
      <c r="E31" s="195">
        <v>2.81E-2</v>
      </c>
      <c r="F31" s="195">
        <v>2.2499999999999999E-2</v>
      </c>
      <c r="G31" s="195">
        <v>1.7999999999999999E-2</v>
      </c>
      <c r="H31" s="195">
        <v>1.6899999999999998E-2</v>
      </c>
      <c r="I31" s="195">
        <v>1.46E-2</v>
      </c>
      <c r="J31" s="195">
        <v>1.12E-2</v>
      </c>
      <c r="K31" s="195">
        <v>5.0900000000000001E-2</v>
      </c>
      <c r="L31" s="195">
        <v>4.4900000000000002E-2</v>
      </c>
      <c r="M31" s="195">
        <v>3.8899999999999997E-2</v>
      </c>
      <c r="N31" s="194">
        <f t="shared" ref="N31:N39" si="14">C31/C$3</f>
        <v>1.0062893081761007E-4</v>
      </c>
      <c r="O31" s="194">
        <f t="shared" ref="O31:O39" si="15">D31/D$3</f>
        <v>1.0059701492537314E-4</v>
      </c>
      <c r="P31" s="194">
        <f t="shared" ref="P31:P39" si="16">E31/E$3</f>
        <v>1.007168458781362E-4</v>
      </c>
      <c r="Q31" s="194">
        <f t="shared" ref="Q31:Q39" si="17">F31/F$3</f>
        <v>1.0089686098654708E-4</v>
      </c>
      <c r="R31" s="194">
        <f t="shared" ref="R31:R39" si="18">G31/G$3</f>
        <v>1.0055865921787709E-4</v>
      </c>
      <c r="S31" s="194">
        <f t="shared" ref="S31:S39" si="19">H31/H$3</f>
        <v>1.0119760479041915E-4</v>
      </c>
      <c r="T31" s="194">
        <f t="shared" ref="T31:T39" si="20">I31/I$3</f>
        <v>1.006896551724138E-4</v>
      </c>
      <c r="U31" s="194">
        <f t="shared" ref="U31:U39" si="21">J31/J$3</f>
        <v>1E-4</v>
      </c>
      <c r="V31" s="194">
        <f t="shared" ref="V31:V39" si="22">K31/K$3</f>
        <v>1.0099206349206349E-4</v>
      </c>
      <c r="W31" s="194">
        <f t="shared" ref="W31:W39" si="23">L31/L$3</f>
        <v>1.0089887640449438E-4</v>
      </c>
      <c r="X31" s="194">
        <f t="shared" ref="X31:X39" si="24">M31/M$3</f>
        <v>1.0077720207253885E-4</v>
      </c>
      <c r="Y31" s="271">
        <f>AVERAGE(N31:X31)*Conversions!$D$8</f>
        <v>0.10072306488704304</v>
      </c>
    </row>
    <row r="32" spans="1:28" x14ac:dyDescent="0.25">
      <c r="A32" s="279" t="s">
        <v>597</v>
      </c>
      <c r="B32" s="279" t="s">
        <v>467</v>
      </c>
      <c r="C32" s="278">
        <v>6.6600000000000001E-3</v>
      </c>
      <c r="D32" s="195">
        <v>1.4E-2</v>
      </c>
      <c r="E32" s="195">
        <v>1.17E-2</v>
      </c>
      <c r="F32" s="195">
        <v>9.3600000000000003E-3</v>
      </c>
      <c r="G32" s="195">
        <v>7.4999999999999997E-3</v>
      </c>
      <c r="H32" s="195">
        <v>7.0200000000000002E-3</v>
      </c>
      <c r="I32" s="195">
        <v>6.0800000000000003E-3</v>
      </c>
      <c r="J32" s="195">
        <v>4.6800000000000001E-3</v>
      </c>
      <c r="K32" s="195">
        <v>2.12E-2</v>
      </c>
      <c r="L32" s="195">
        <v>1.8700000000000001E-2</v>
      </c>
      <c r="M32" s="195">
        <v>1.6199999999999999E-2</v>
      </c>
      <c r="N32" s="194">
        <f t="shared" si="14"/>
        <v>4.1886792452830188E-5</v>
      </c>
      <c r="O32" s="194">
        <f t="shared" si="15"/>
        <v>4.1791044776119404E-5</v>
      </c>
      <c r="P32" s="194">
        <f t="shared" si="16"/>
        <v>4.1935483870967746E-5</v>
      </c>
      <c r="Q32" s="194">
        <f t="shared" si="17"/>
        <v>4.1973094170403591E-5</v>
      </c>
      <c r="R32" s="194">
        <f t="shared" si="18"/>
        <v>4.1899441340782123E-5</v>
      </c>
      <c r="S32" s="194">
        <f t="shared" si="19"/>
        <v>4.2035928143712575E-5</v>
      </c>
      <c r="T32" s="194">
        <f t="shared" si="20"/>
        <v>4.1931034482758624E-5</v>
      </c>
      <c r="U32" s="194">
        <f t="shared" si="21"/>
        <v>4.178571428571429E-5</v>
      </c>
      <c r="V32" s="194">
        <f t="shared" si="22"/>
        <v>4.2063492063492065E-5</v>
      </c>
      <c r="W32" s="194">
        <f t="shared" si="23"/>
        <v>4.2022471910112365E-5</v>
      </c>
      <c r="X32" s="194">
        <f t="shared" si="24"/>
        <v>4.1968911917098443E-5</v>
      </c>
      <c r="Y32" s="271">
        <f>AVERAGE(N32:X32)*Conversions!$D$5*Conversions!$D$9*Conversions!$D$65</f>
        <v>0</v>
      </c>
    </row>
    <row r="33" spans="1:25" x14ac:dyDescent="0.25">
      <c r="A33" s="279" t="s">
        <v>596</v>
      </c>
      <c r="B33" s="279" t="s">
        <v>468</v>
      </c>
      <c r="C33" s="278">
        <v>4.4600000000000004E-3</v>
      </c>
      <c r="D33" s="195">
        <v>9.4000000000000004E-3</v>
      </c>
      <c r="E33" s="195">
        <v>7.8300000000000002E-3</v>
      </c>
      <c r="F33" s="195">
        <v>6.2700000000000004E-3</v>
      </c>
      <c r="G33" s="195">
        <v>5.0200000000000002E-3</v>
      </c>
      <c r="H33" s="195">
        <v>4.7000000000000002E-3</v>
      </c>
      <c r="I33" s="195">
        <v>4.0699999999999998E-3</v>
      </c>
      <c r="J33" s="195">
        <v>3.13E-3</v>
      </c>
      <c r="K33" s="195">
        <v>1.4200000000000001E-2</v>
      </c>
      <c r="L33" s="195">
        <v>1.2500000000000001E-2</v>
      </c>
      <c r="M33" s="195">
        <v>1.0800000000000001E-2</v>
      </c>
      <c r="N33" s="194">
        <f t="shared" si="14"/>
        <v>2.8050314465408809E-5</v>
      </c>
      <c r="O33" s="194">
        <f t="shared" si="15"/>
        <v>2.8059701492537314E-5</v>
      </c>
      <c r="P33" s="194">
        <f t="shared" si="16"/>
        <v>2.8064516129032258E-5</v>
      </c>
      <c r="Q33" s="194">
        <f t="shared" si="17"/>
        <v>2.8116591928251121E-5</v>
      </c>
      <c r="R33" s="194">
        <f t="shared" si="18"/>
        <v>2.8044692737430168E-5</v>
      </c>
      <c r="S33" s="194">
        <f t="shared" si="19"/>
        <v>2.81437125748503E-5</v>
      </c>
      <c r="T33" s="194">
        <f t="shared" si="20"/>
        <v>2.8068965517241377E-5</v>
      </c>
      <c r="U33" s="194">
        <f t="shared" si="21"/>
        <v>2.7946428571428573E-5</v>
      </c>
      <c r="V33" s="194">
        <f t="shared" si="22"/>
        <v>2.8174603174603175E-5</v>
      </c>
      <c r="W33" s="194">
        <f t="shared" si="23"/>
        <v>2.8089887640449439E-5</v>
      </c>
      <c r="X33" s="194">
        <f t="shared" si="24"/>
        <v>2.7979274611398966E-5</v>
      </c>
      <c r="Y33" s="271">
        <f>AVERAGE(N33:X33)*Conversions!$D$7*Conversions!$D$10</f>
        <v>4.7714161002952143E-8</v>
      </c>
    </row>
    <row r="34" spans="1:25" x14ac:dyDescent="0.25">
      <c r="A34" s="279" t="s">
        <v>595</v>
      </c>
      <c r="B34" s="279" t="s">
        <v>469</v>
      </c>
      <c r="C34" s="278">
        <v>0.14799999999999999</v>
      </c>
      <c r="D34" s="195">
        <v>0.312</v>
      </c>
      <c r="E34" s="195">
        <v>0.26</v>
      </c>
      <c r="F34" s="195">
        <v>0.20799999999999999</v>
      </c>
      <c r="G34" s="195">
        <v>0.16600000000000001</v>
      </c>
      <c r="H34" s="195">
        <v>0.156</v>
      </c>
      <c r="I34" s="195">
        <v>0.13500000000000001</v>
      </c>
      <c r="J34" s="195">
        <v>0.104</v>
      </c>
      <c r="K34" s="195">
        <v>0.47</v>
      </c>
      <c r="L34" s="195">
        <v>0.41399999999999998</v>
      </c>
      <c r="M34" s="195">
        <v>0.35899999999999999</v>
      </c>
      <c r="N34" s="194">
        <f t="shared" si="14"/>
        <v>9.3081761006289301E-4</v>
      </c>
      <c r="O34" s="194">
        <f t="shared" si="15"/>
        <v>9.3134328358208951E-4</v>
      </c>
      <c r="P34" s="194">
        <f t="shared" si="16"/>
        <v>9.3189964157706093E-4</v>
      </c>
      <c r="Q34" s="194">
        <f t="shared" si="17"/>
        <v>9.3273542600896852E-4</v>
      </c>
      <c r="R34" s="194">
        <f t="shared" si="18"/>
        <v>9.2737430167597773E-4</v>
      </c>
      <c r="S34" s="194">
        <f t="shared" si="19"/>
        <v>9.3413173652694614E-4</v>
      </c>
      <c r="T34" s="194">
        <f t="shared" si="20"/>
        <v>9.310344827586208E-4</v>
      </c>
      <c r="U34" s="194">
        <f t="shared" si="21"/>
        <v>9.2857142857142856E-4</v>
      </c>
      <c r="V34" s="194">
        <f t="shared" si="22"/>
        <v>9.3253968253968246E-4</v>
      </c>
      <c r="W34" s="194">
        <f t="shared" si="23"/>
        <v>9.3033707865168536E-4</v>
      </c>
      <c r="X34" s="194">
        <f t="shared" si="24"/>
        <v>9.300518134715026E-4</v>
      </c>
      <c r="Y34" s="271">
        <f>AVERAGE(N34:X34)*Conversions!$D$5*Conversions!$D$11*Conversions!$D$6</f>
        <v>8.1051890246586569E-4</v>
      </c>
    </row>
    <row r="35" spans="1:25" x14ac:dyDescent="0.25">
      <c r="A35" s="279" t="s">
        <v>594</v>
      </c>
      <c r="B35" s="279" t="s">
        <v>470</v>
      </c>
      <c r="C35" s="278">
        <v>6.2100000000000002E-4</v>
      </c>
      <c r="D35" s="195">
        <v>1.31E-3</v>
      </c>
      <c r="E35" s="195">
        <v>1.09E-3</v>
      </c>
      <c r="F35" s="195">
        <v>8.7200000000000005E-4</v>
      </c>
      <c r="G35" s="195">
        <v>6.9800000000000005E-4</v>
      </c>
      <c r="H35" s="195">
        <v>6.5399999999999996E-4</v>
      </c>
      <c r="I35" s="195">
        <v>5.6599999999999999E-4</v>
      </c>
      <c r="J35" s="195">
        <v>4.3600000000000003E-4</v>
      </c>
      <c r="K35" s="195">
        <v>1.97E-3</v>
      </c>
      <c r="L35" s="195">
        <v>1.74E-3</v>
      </c>
      <c r="M35" s="195">
        <v>1.5100000000000001E-3</v>
      </c>
      <c r="N35" s="194">
        <f t="shared" si="14"/>
        <v>3.9056603773584909E-6</v>
      </c>
      <c r="O35" s="194">
        <f t="shared" si="15"/>
        <v>3.9104477611940296E-6</v>
      </c>
      <c r="P35" s="194">
        <f t="shared" si="16"/>
        <v>3.9068100358422943E-6</v>
      </c>
      <c r="Q35" s="194">
        <f t="shared" si="17"/>
        <v>3.9103139013452921E-6</v>
      </c>
      <c r="R35" s="194">
        <f t="shared" si="18"/>
        <v>3.899441340782123E-6</v>
      </c>
      <c r="S35" s="194">
        <f t="shared" si="19"/>
        <v>3.9161676646706581E-6</v>
      </c>
      <c r="T35" s="194">
        <f t="shared" si="20"/>
        <v>3.9034482758620691E-6</v>
      </c>
      <c r="U35" s="194">
        <f t="shared" si="21"/>
        <v>3.8928571428571433E-6</v>
      </c>
      <c r="V35" s="194">
        <f t="shared" si="22"/>
        <v>3.9087301587301584E-6</v>
      </c>
      <c r="W35" s="194">
        <f t="shared" si="23"/>
        <v>3.9101123595505618E-6</v>
      </c>
      <c r="X35" s="194">
        <f t="shared" si="24"/>
        <v>3.9119170984455958E-6</v>
      </c>
      <c r="Y35" s="271">
        <f>AVERAGE(N35:X35)*1000*Conversions!$D$12</f>
        <v>3.1255204448464302E-3</v>
      </c>
    </row>
    <row r="36" spans="1:25" x14ac:dyDescent="0.25">
      <c r="A36" s="279" t="s">
        <v>593</v>
      </c>
      <c r="B36" s="279" t="s">
        <v>471</v>
      </c>
      <c r="C36" s="278">
        <v>3.5699999999999998E-3</v>
      </c>
      <c r="D36" s="195">
        <v>7.5199999999999998E-3</v>
      </c>
      <c r="E36" s="195">
        <v>6.2700000000000004E-3</v>
      </c>
      <c r="F36" s="195">
        <v>5.0099999999999997E-3</v>
      </c>
      <c r="G36" s="195">
        <v>4.0099999999999997E-3</v>
      </c>
      <c r="H36" s="195">
        <v>3.7599999999999999E-3</v>
      </c>
      <c r="I36" s="195">
        <v>3.2499999999999999E-3</v>
      </c>
      <c r="J36" s="195">
        <v>2.5100000000000001E-3</v>
      </c>
      <c r="K36" s="195">
        <v>1.1299999999999999E-2</v>
      </c>
      <c r="L36" s="195">
        <v>0.01</v>
      </c>
      <c r="M36" s="195">
        <v>8.6700000000000006E-3</v>
      </c>
      <c r="N36" s="194">
        <f t="shared" si="14"/>
        <v>2.2452830188679244E-5</v>
      </c>
      <c r="O36" s="194">
        <f t="shared" si="15"/>
        <v>2.244776119402985E-5</v>
      </c>
      <c r="P36" s="194">
        <f t="shared" si="16"/>
        <v>2.2473118279569895E-5</v>
      </c>
      <c r="Q36" s="194">
        <f t="shared" si="17"/>
        <v>2.2466367713004483E-5</v>
      </c>
      <c r="R36" s="194">
        <f t="shared" si="18"/>
        <v>2.2402234636871507E-5</v>
      </c>
      <c r="S36" s="194">
        <f t="shared" si="19"/>
        <v>2.251497005988024E-5</v>
      </c>
      <c r="T36" s="194">
        <f t="shared" si="20"/>
        <v>2.2413793103448276E-5</v>
      </c>
      <c r="U36" s="194">
        <f t="shared" si="21"/>
        <v>2.2410714285714286E-5</v>
      </c>
      <c r="V36" s="194">
        <f t="shared" si="22"/>
        <v>2.242063492063492E-5</v>
      </c>
      <c r="W36" s="194">
        <f t="shared" si="23"/>
        <v>2.2471910112359552E-5</v>
      </c>
      <c r="X36" s="194">
        <f t="shared" si="24"/>
        <v>2.2461139896373058E-5</v>
      </c>
      <c r="Y36" s="271">
        <f>AVERAGE(N36:X36)*Conversions!$D$8</f>
        <v>2.2448679490051391E-2</v>
      </c>
    </row>
    <row r="37" spans="1:25" x14ac:dyDescent="0.25">
      <c r="A37" s="279" t="s">
        <v>592</v>
      </c>
      <c r="B37" s="279" t="s">
        <v>785</v>
      </c>
      <c r="C37" s="278">
        <v>1.5299999999999999E-2</v>
      </c>
      <c r="D37" s="195">
        <v>3.2199999999999999E-2</v>
      </c>
      <c r="E37" s="195">
        <v>2.6800000000000001E-2</v>
      </c>
      <c r="F37" s="195">
        <v>2.1399999999999999E-2</v>
      </c>
      <c r="G37" s="195">
        <v>1.72E-2</v>
      </c>
      <c r="H37" s="195">
        <v>1.61E-2</v>
      </c>
      <c r="I37" s="195">
        <v>1.3899999999999999E-2</v>
      </c>
      <c r="J37" s="195">
        <v>1.0699999999999999E-2</v>
      </c>
      <c r="K37" s="195">
        <v>4.8500000000000001E-2</v>
      </c>
      <c r="L37" s="195">
        <v>4.2799999999999998E-2</v>
      </c>
      <c r="M37" s="195">
        <v>3.7100000000000001E-2</v>
      </c>
      <c r="N37" s="194">
        <f t="shared" si="14"/>
        <v>9.6226415094339621E-5</v>
      </c>
      <c r="O37" s="194">
        <f t="shared" si="15"/>
        <v>9.6119402985074624E-5</v>
      </c>
      <c r="P37" s="194">
        <f t="shared" si="16"/>
        <v>9.6057347670250898E-5</v>
      </c>
      <c r="Q37" s="194">
        <f t="shared" si="17"/>
        <v>9.5964125560538114E-5</v>
      </c>
      <c r="R37" s="194">
        <f t="shared" si="18"/>
        <v>9.6089385474860332E-5</v>
      </c>
      <c r="S37" s="194">
        <f t="shared" si="19"/>
        <v>9.6407185628742507E-5</v>
      </c>
      <c r="T37" s="194">
        <f t="shared" si="20"/>
        <v>9.5862068965517241E-5</v>
      </c>
      <c r="U37" s="194">
        <f t="shared" si="21"/>
        <v>9.5535714285714275E-5</v>
      </c>
      <c r="V37" s="194">
        <f t="shared" si="22"/>
        <v>9.6230158730158729E-5</v>
      </c>
      <c r="W37" s="194">
        <f t="shared" si="23"/>
        <v>9.6179775280898875E-5</v>
      </c>
      <c r="X37" s="194">
        <f t="shared" si="24"/>
        <v>9.6113989637305704E-5</v>
      </c>
      <c r="Y37" s="271">
        <f>AVERAGE(N37:X37)*Conversions!$D$5*Conversions!$D$13*Conversions!$D$6</f>
        <v>8.4024838101384294E-5</v>
      </c>
    </row>
    <row r="38" spans="1:25" x14ac:dyDescent="0.25">
      <c r="A38" s="279" t="s">
        <v>591</v>
      </c>
      <c r="B38" s="279" t="s">
        <v>472</v>
      </c>
      <c r="C38" s="278">
        <v>6.4199999999999993E-2</v>
      </c>
      <c r="D38" s="195">
        <v>0.13500000000000001</v>
      </c>
      <c r="E38" s="195">
        <v>0.113</v>
      </c>
      <c r="F38" s="195">
        <v>9.0200000000000002E-2</v>
      </c>
      <c r="G38" s="195">
        <v>7.22E-2</v>
      </c>
      <c r="H38" s="195">
        <v>6.7599999999999993E-2</v>
      </c>
      <c r="I38" s="195">
        <v>5.8500000000000003E-2</v>
      </c>
      <c r="J38" s="195">
        <v>4.5100000000000001E-2</v>
      </c>
      <c r="K38" s="195">
        <v>0.20399999999999999</v>
      </c>
      <c r="L38" s="195">
        <v>0.18</v>
      </c>
      <c r="M38" s="195">
        <v>0.156</v>
      </c>
      <c r="N38" s="194">
        <f t="shared" si="14"/>
        <v>4.0377358490566032E-4</v>
      </c>
      <c r="O38" s="194">
        <f t="shared" si="15"/>
        <v>4.0298507462686569E-4</v>
      </c>
      <c r="P38" s="194">
        <f t="shared" si="16"/>
        <v>4.0501792114695339E-4</v>
      </c>
      <c r="Q38" s="194">
        <f t="shared" si="17"/>
        <v>4.0448430493273546E-4</v>
      </c>
      <c r="R38" s="194">
        <f t="shared" si="18"/>
        <v>4.0335195530726258E-4</v>
      </c>
      <c r="S38" s="194">
        <f t="shared" si="19"/>
        <v>4.0479041916167659E-4</v>
      </c>
      <c r="T38" s="194">
        <f t="shared" si="20"/>
        <v>4.0344827586206896E-4</v>
      </c>
      <c r="U38" s="194">
        <f t="shared" si="21"/>
        <v>4.0267857142857146E-4</v>
      </c>
      <c r="V38" s="194">
        <f t="shared" si="22"/>
        <v>4.0476190476190473E-4</v>
      </c>
      <c r="W38" s="194">
        <f t="shared" si="23"/>
        <v>4.044943820224719E-4</v>
      </c>
      <c r="X38" s="194">
        <f t="shared" si="24"/>
        <v>4.0414507772020724E-4</v>
      </c>
      <c r="Y38" s="271">
        <f t="shared" ref="Y38:Y39" si="25">AVERAGE(N38:X38)</f>
        <v>4.0399377017057982E-4</v>
      </c>
    </row>
    <row r="39" spans="1:25" x14ac:dyDescent="0.25">
      <c r="A39" s="279" t="s">
        <v>590</v>
      </c>
      <c r="B39" s="279" t="s">
        <v>473</v>
      </c>
      <c r="C39" s="278">
        <v>22.3</v>
      </c>
      <c r="D39" s="195">
        <v>47</v>
      </c>
      <c r="E39" s="195">
        <v>39.200000000000003</v>
      </c>
      <c r="F39" s="195">
        <v>31.4</v>
      </c>
      <c r="G39" s="195">
        <v>25.1</v>
      </c>
      <c r="H39" s="195">
        <v>23.5</v>
      </c>
      <c r="I39" s="195">
        <v>20.3</v>
      </c>
      <c r="J39" s="195">
        <v>15.7</v>
      </c>
      <c r="K39" s="195">
        <v>70.900000000000006</v>
      </c>
      <c r="L39" s="195">
        <v>62.6</v>
      </c>
      <c r="M39" s="195">
        <v>54.2</v>
      </c>
      <c r="N39" s="194">
        <f t="shared" si="14"/>
        <v>0.14025157232704402</v>
      </c>
      <c r="O39" s="194">
        <f t="shared" si="15"/>
        <v>0.14029850746268657</v>
      </c>
      <c r="P39" s="194">
        <f t="shared" si="16"/>
        <v>0.14050179211469535</v>
      </c>
      <c r="Q39" s="194">
        <f t="shared" si="17"/>
        <v>0.14080717488789238</v>
      </c>
      <c r="R39" s="194">
        <f t="shared" si="18"/>
        <v>0.14022346368715086</v>
      </c>
      <c r="S39" s="194">
        <f t="shared" si="19"/>
        <v>0.1407185628742515</v>
      </c>
      <c r="T39" s="194">
        <f t="shared" si="20"/>
        <v>0.14000000000000001</v>
      </c>
      <c r="U39" s="194">
        <f t="shared" si="21"/>
        <v>0.14017857142857143</v>
      </c>
      <c r="V39" s="194">
        <f t="shared" si="22"/>
        <v>0.14067460317460317</v>
      </c>
      <c r="W39" s="194">
        <f t="shared" si="23"/>
        <v>0.14067415730337079</v>
      </c>
      <c r="X39" s="194">
        <f t="shared" si="24"/>
        <v>0.14041450777202072</v>
      </c>
      <c r="Y39" s="271">
        <f t="shared" si="25"/>
        <v>0.14043117391202606</v>
      </c>
    </row>
    <row r="40" spans="1:25" x14ac:dyDescent="0.25">
      <c r="A40" s="279" t="s">
        <v>91</v>
      </c>
      <c r="B40" s="279"/>
      <c r="C40" s="280"/>
      <c r="D40" s="197"/>
      <c r="E40" s="197"/>
      <c r="F40" s="197"/>
      <c r="G40" s="197"/>
      <c r="H40" s="197"/>
      <c r="I40" s="197"/>
      <c r="J40" s="197"/>
      <c r="K40" s="196"/>
      <c r="L40" s="196"/>
      <c r="M40" s="196"/>
      <c r="N40" s="194"/>
      <c r="O40" s="194"/>
      <c r="P40" s="194"/>
      <c r="Q40" s="194"/>
      <c r="R40" s="194"/>
      <c r="S40" s="194"/>
      <c r="T40" s="194"/>
      <c r="U40" s="194"/>
      <c r="V40" s="194"/>
      <c r="W40" s="194"/>
      <c r="X40" s="194"/>
      <c r="Y40" s="193"/>
    </row>
    <row r="41" spans="1:25" x14ac:dyDescent="0.25">
      <c r="A41" s="279" t="s">
        <v>589</v>
      </c>
      <c r="B41" s="279" t="s">
        <v>474</v>
      </c>
      <c r="C41" s="278">
        <v>1.37E-4</v>
      </c>
      <c r="D41" s="195">
        <v>2.8800000000000001E-4</v>
      </c>
      <c r="E41" s="195">
        <v>2.4000000000000001E-4</v>
      </c>
      <c r="F41" s="195">
        <v>1.92E-4</v>
      </c>
      <c r="G41" s="195">
        <v>1.54E-4</v>
      </c>
      <c r="H41" s="195">
        <v>1.44E-4</v>
      </c>
      <c r="I41" s="195">
        <v>1.2400000000000001E-4</v>
      </c>
      <c r="J41" s="195">
        <v>9.59E-5</v>
      </c>
      <c r="K41" s="195">
        <v>4.3399999999999998E-4</v>
      </c>
      <c r="L41" s="195">
        <v>3.8299999999999999E-4</v>
      </c>
      <c r="M41" s="195">
        <v>3.3199999999999999E-4</v>
      </c>
      <c r="N41" s="194">
        <f t="shared" ref="N41:X46" si="26">C41/C$3</f>
        <v>8.6163522012578609E-7</v>
      </c>
      <c r="O41" s="194">
        <f t="shared" si="26"/>
        <v>8.5970149253731346E-7</v>
      </c>
      <c r="P41" s="194">
        <f t="shared" si="26"/>
        <v>8.6021505376344086E-7</v>
      </c>
      <c r="Q41" s="194">
        <f t="shared" si="26"/>
        <v>8.6098654708520178E-7</v>
      </c>
      <c r="R41" s="194">
        <f t="shared" si="26"/>
        <v>8.6033519553072631E-7</v>
      </c>
      <c r="S41" s="194">
        <f t="shared" si="26"/>
        <v>8.6227544910179639E-7</v>
      </c>
      <c r="T41" s="194">
        <f t="shared" si="26"/>
        <v>8.5517241379310349E-7</v>
      </c>
      <c r="U41" s="194">
        <f t="shared" si="26"/>
        <v>8.5624999999999995E-7</v>
      </c>
      <c r="V41" s="194">
        <f t="shared" si="26"/>
        <v>8.611111111111111E-7</v>
      </c>
      <c r="W41" s="194">
        <f t="shared" si="26"/>
        <v>8.6067415730337071E-7</v>
      </c>
      <c r="X41" s="194">
        <f t="shared" si="26"/>
        <v>8.6010362694300512E-7</v>
      </c>
      <c r="Y41" s="271">
        <f t="shared" ref="Y41:Y46" si="27">AVERAGE(N41:X41)</f>
        <v>8.598600242995323E-7</v>
      </c>
    </row>
    <row r="42" spans="1:25" x14ac:dyDescent="0.25">
      <c r="A42" s="279" t="s">
        <v>588</v>
      </c>
      <c r="B42" s="279" t="s">
        <v>475</v>
      </c>
      <c r="C42" s="278">
        <v>1.5100000000000001E-4</v>
      </c>
      <c r="D42" s="195">
        <v>3.1700000000000001E-4</v>
      </c>
      <c r="E42" s="195">
        <v>2.6400000000000002E-4</v>
      </c>
      <c r="F42" s="195">
        <v>2.1100000000000001E-4</v>
      </c>
      <c r="G42" s="195">
        <v>1.6899999999999999E-4</v>
      </c>
      <c r="H42" s="195">
        <v>1.5899999999999999E-4</v>
      </c>
      <c r="I42" s="195">
        <v>1.37E-4</v>
      </c>
      <c r="J42" s="195">
        <v>1.06E-4</v>
      </c>
      <c r="K42" s="195">
        <v>4.7800000000000002E-4</v>
      </c>
      <c r="L42" s="195">
        <v>4.2200000000000001E-4</v>
      </c>
      <c r="M42" s="195">
        <v>3.6600000000000001E-4</v>
      </c>
      <c r="N42" s="194">
        <f t="shared" si="26"/>
        <v>9.4968553459119504E-7</v>
      </c>
      <c r="O42" s="194">
        <f t="shared" si="26"/>
        <v>9.4626865671641788E-7</v>
      </c>
      <c r="P42" s="194">
        <f t="shared" si="26"/>
        <v>9.4623655913978499E-7</v>
      </c>
      <c r="Q42" s="194">
        <f t="shared" si="26"/>
        <v>9.4618834080717496E-7</v>
      </c>
      <c r="R42" s="194">
        <f t="shared" si="26"/>
        <v>9.4413407821229043E-7</v>
      </c>
      <c r="S42" s="194">
        <f t="shared" si="26"/>
        <v>9.5209580838323349E-7</v>
      </c>
      <c r="T42" s="194">
        <f t="shared" si="26"/>
        <v>9.4482758620689653E-7</v>
      </c>
      <c r="U42" s="194">
        <f t="shared" si="26"/>
        <v>9.464285714285714E-7</v>
      </c>
      <c r="V42" s="194">
        <f t="shared" si="26"/>
        <v>9.4841269841269849E-7</v>
      </c>
      <c r="W42" s="194">
        <f t="shared" si="26"/>
        <v>9.4831460674157304E-7</v>
      </c>
      <c r="X42" s="194">
        <f t="shared" si="26"/>
        <v>9.4818652849740933E-7</v>
      </c>
      <c r="Y42" s="271">
        <f t="shared" si="27"/>
        <v>9.4734354264884036E-7</v>
      </c>
    </row>
    <row r="43" spans="1:25" x14ac:dyDescent="0.25">
      <c r="A43" s="279" t="s">
        <v>587</v>
      </c>
      <c r="B43" s="279" t="s">
        <v>476</v>
      </c>
      <c r="C43" s="278">
        <v>0.115</v>
      </c>
      <c r="D43" s="195">
        <v>0.24299999999999999</v>
      </c>
      <c r="E43" s="195">
        <v>0.20300000000000001</v>
      </c>
      <c r="F43" s="195">
        <v>0.16200000000000001</v>
      </c>
      <c r="G43" s="195">
        <v>0.13</v>
      </c>
      <c r="H43" s="195">
        <v>0.122</v>
      </c>
      <c r="I43" s="195">
        <v>0.105</v>
      </c>
      <c r="J43" s="195">
        <v>8.1100000000000005E-2</v>
      </c>
      <c r="K43" s="195">
        <v>0.36699999999999999</v>
      </c>
      <c r="L43" s="195">
        <v>0.32400000000000001</v>
      </c>
      <c r="M43" s="195">
        <v>0.28100000000000003</v>
      </c>
      <c r="N43" s="194">
        <f t="shared" si="26"/>
        <v>7.2327044025157232E-4</v>
      </c>
      <c r="O43" s="194">
        <f t="shared" si="26"/>
        <v>7.2537313432835819E-4</v>
      </c>
      <c r="P43" s="194">
        <f t="shared" si="26"/>
        <v>7.2759856630824377E-4</v>
      </c>
      <c r="Q43" s="194">
        <f t="shared" si="26"/>
        <v>7.2645739910313901E-4</v>
      </c>
      <c r="R43" s="194">
        <f t="shared" si="26"/>
        <v>7.262569832402235E-4</v>
      </c>
      <c r="S43" s="194">
        <f t="shared" si="26"/>
        <v>7.3053892215568859E-4</v>
      </c>
      <c r="T43" s="194">
        <f t="shared" si="26"/>
        <v>7.2413793103448271E-4</v>
      </c>
      <c r="U43" s="194">
        <f t="shared" si="26"/>
        <v>7.2410714285714287E-4</v>
      </c>
      <c r="V43" s="194">
        <f t="shared" si="26"/>
        <v>7.281746031746032E-4</v>
      </c>
      <c r="W43" s="194">
        <f t="shared" si="26"/>
        <v>7.2808988764044944E-4</v>
      </c>
      <c r="X43" s="194">
        <f t="shared" si="26"/>
        <v>7.2797927461139907E-4</v>
      </c>
      <c r="Y43" s="271">
        <f t="shared" si="27"/>
        <v>7.2654402588230018E-4</v>
      </c>
    </row>
    <row r="44" spans="1:25" x14ac:dyDescent="0.25">
      <c r="A44" s="279" t="s">
        <v>586</v>
      </c>
      <c r="B44" s="279" t="s">
        <v>477</v>
      </c>
      <c r="C44" s="278">
        <v>2.1900000000000001E-3</v>
      </c>
      <c r="D44" s="195">
        <v>4.6100000000000004E-3</v>
      </c>
      <c r="E44" s="195">
        <v>3.8400000000000001E-3</v>
      </c>
      <c r="F44" s="195">
        <v>3.0699999999999998E-3</v>
      </c>
      <c r="G44" s="195">
        <v>2.4599999999999999E-3</v>
      </c>
      <c r="H44" s="195">
        <v>2.31E-3</v>
      </c>
      <c r="I44" s="195">
        <v>1.99E-3</v>
      </c>
      <c r="J44" s="195">
        <v>1.5399999999999999E-3</v>
      </c>
      <c r="K44" s="195">
        <v>6.9499999999999996E-3</v>
      </c>
      <c r="L44" s="195">
        <v>6.13E-3</v>
      </c>
      <c r="M44" s="195">
        <v>5.3099999999999996E-3</v>
      </c>
      <c r="N44" s="194">
        <f t="shared" si="26"/>
        <v>1.3773584905660378E-5</v>
      </c>
      <c r="O44" s="194">
        <f t="shared" si="26"/>
        <v>1.3761194029850747E-5</v>
      </c>
      <c r="P44" s="194">
        <f t="shared" si="26"/>
        <v>1.3763440860215054E-5</v>
      </c>
      <c r="Q44" s="194">
        <f t="shared" si="26"/>
        <v>1.3766816143497756E-5</v>
      </c>
      <c r="R44" s="194">
        <f t="shared" si="26"/>
        <v>1.3743016759776537E-5</v>
      </c>
      <c r="S44" s="194">
        <f t="shared" si="26"/>
        <v>1.3832335329341318E-5</v>
      </c>
      <c r="T44" s="194">
        <f t="shared" si="26"/>
        <v>1.3724137931034483E-5</v>
      </c>
      <c r="U44" s="194">
        <f t="shared" si="26"/>
        <v>1.3749999999999999E-5</v>
      </c>
      <c r="V44" s="194">
        <f t="shared" si="26"/>
        <v>1.3789682539682538E-5</v>
      </c>
      <c r="W44" s="194">
        <f t="shared" si="26"/>
        <v>1.3775280898876404E-5</v>
      </c>
      <c r="X44" s="194">
        <f t="shared" si="26"/>
        <v>1.3756476683937823E-5</v>
      </c>
      <c r="Y44" s="271">
        <f t="shared" si="27"/>
        <v>1.3766906007443E-5</v>
      </c>
    </row>
    <row r="45" spans="1:25" x14ac:dyDescent="0.25">
      <c r="A45" s="279" t="s">
        <v>585</v>
      </c>
      <c r="B45" s="279" t="s">
        <v>478</v>
      </c>
      <c r="C45" s="278">
        <v>9.3599999999999998E-4</v>
      </c>
      <c r="D45" s="195">
        <v>1.97E-3</v>
      </c>
      <c r="E45" s="195">
        <v>1.64E-3</v>
      </c>
      <c r="F45" s="195">
        <v>1.32E-3</v>
      </c>
      <c r="G45" s="195">
        <v>1.0499999999999999E-3</v>
      </c>
      <c r="H45" s="195">
        <v>9.8700000000000003E-4</v>
      </c>
      <c r="I45" s="195">
        <v>8.5400000000000005E-4</v>
      </c>
      <c r="J45" s="195">
        <v>6.5799999999999995E-4</v>
      </c>
      <c r="K45" s="195">
        <v>2.97E-3</v>
      </c>
      <c r="L45" s="195">
        <v>2.6199999999999999E-3</v>
      </c>
      <c r="M45" s="195">
        <v>2.2699999999999999E-3</v>
      </c>
      <c r="N45" s="194">
        <f t="shared" si="26"/>
        <v>5.8867924528301883E-6</v>
      </c>
      <c r="O45" s="194">
        <f t="shared" si="26"/>
        <v>5.880597014925373E-6</v>
      </c>
      <c r="P45" s="194">
        <f t="shared" si="26"/>
        <v>5.8781362007168454E-6</v>
      </c>
      <c r="Q45" s="194">
        <f t="shared" si="26"/>
        <v>5.9192825112107621E-6</v>
      </c>
      <c r="R45" s="194">
        <f t="shared" si="26"/>
        <v>5.8659217877094972E-6</v>
      </c>
      <c r="S45" s="194">
        <f t="shared" si="26"/>
        <v>5.9101796407185631E-6</v>
      </c>
      <c r="T45" s="194">
        <f t="shared" si="26"/>
        <v>5.8896551724137935E-6</v>
      </c>
      <c r="U45" s="194">
        <f t="shared" si="26"/>
        <v>5.8749999999999997E-6</v>
      </c>
      <c r="V45" s="194">
        <f t="shared" si="26"/>
        <v>5.8928571428571428E-6</v>
      </c>
      <c r="W45" s="194">
        <f t="shared" si="26"/>
        <v>5.8876404494382022E-6</v>
      </c>
      <c r="X45" s="194">
        <f t="shared" si="26"/>
        <v>5.8808290155440412E-6</v>
      </c>
      <c r="Y45" s="271">
        <f t="shared" si="27"/>
        <v>5.887899217124037E-6</v>
      </c>
    </row>
    <row r="46" spans="1:25" x14ac:dyDescent="0.25">
      <c r="A46" s="279" t="s">
        <v>584</v>
      </c>
      <c r="B46" s="279" t="s">
        <v>479</v>
      </c>
      <c r="C46" s="278">
        <v>1.1900000000000001E-3</v>
      </c>
      <c r="D46" s="195">
        <v>2.5200000000000001E-3</v>
      </c>
      <c r="E46" s="195">
        <v>2.0999999999999999E-3</v>
      </c>
      <c r="F46" s="195">
        <v>1.6800000000000001E-3</v>
      </c>
      <c r="G46" s="195">
        <v>1.34E-3</v>
      </c>
      <c r="H46" s="195">
        <v>1.2600000000000001E-3</v>
      </c>
      <c r="I46" s="195">
        <v>1.09E-3</v>
      </c>
      <c r="J46" s="195">
        <v>8.3900000000000001E-4</v>
      </c>
      <c r="K46" s="195">
        <v>3.79E-3</v>
      </c>
      <c r="L46" s="195">
        <v>3.3500000000000001E-3</v>
      </c>
      <c r="M46" s="195">
        <v>2.8999999999999998E-3</v>
      </c>
      <c r="N46" s="194">
        <f t="shared" si="26"/>
        <v>7.4842767295597493E-6</v>
      </c>
      <c r="O46" s="194">
        <f t="shared" si="26"/>
        <v>7.5223880597014925E-6</v>
      </c>
      <c r="P46" s="194">
        <f t="shared" si="26"/>
        <v>7.5268817204301069E-6</v>
      </c>
      <c r="Q46" s="194">
        <f t="shared" si="26"/>
        <v>7.5336322869955159E-6</v>
      </c>
      <c r="R46" s="194">
        <f t="shared" si="26"/>
        <v>7.4860335195530728E-6</v>
      </c>
      <c r="S46" s="194">
        <f t="shared" si="26"/>
        <v>7.5449101796407187E-6</v>
      </c>
      <c r="T46" s="194">
        <f t="shared" si="26"/>
        <v>7.5172413793103453E-6</v>
      </c>
      <c r="U46" s="194">
        <f t="shared" si="26"/>
        <v>7.491071428571429E-6</v>
      </c>
      <c r="V46" s="194">
        <f t="shared" si="26"/>
        <v>7.5198412698412698E-6</v>
      </c>
      <c r="W46" s="194">
        <f t="shared" si="26"/>
        <v>7.5280898876404495E-6</v>
      </c>
      <c r="X46" s="194">
        <f t="shared" si="26"/>
        <v>7.5129533678756472E-6</v>
      </c>
      <c r="Y46" s="271">
        <f t="shared" si="27"/>
        <v>7.5152108935563457E-6</v>
      </c>
    </row>
    <row r="47" spans="1:25" x14ac:dyDescent="0.25">
      <c r="A47" s="279" t="s">
        <v>583</v>
      </c>
      <c r="B47" s="279"/>
      <c r="C47" s="282">
        <v>8.4499999999999993</v>
      </c>
      <c r="D47" s="281">
        <v>8.4499999999999993</v>
      </c>
      <c r="E47" s="281">
        <v>8.4499999999999993</v>
      </c>
      <c r="F47" s="281">
        <v>8.4499999999999993</v>
      </c>
      <c r="G47" s="281">
        <v>8.4499999999999993</v>
      </c>
      <c r="H47" s="281">
        <v>8.4499999999999993</v>
      </c>
      <c r="I47" s="281">
        <v>8.4499999999999993</v>
      </c>
      <c r="J47" s="281">
        <v>8.4499999999999993</v>
      </c>
      <c r="K47" s="281">
        <v>8.4499999999999993</v>
      </c>
      <c r="L47" s="281">
        <v>8.4499999999999993</v>
      </c>
      <c r="M47" s="281">
        <v>8.4499999999999993</v>
      </c>
      <c r="N47" s="194"/>
      <c r="O47" s="194"/>
      <c r="P47" s="194"/>
      <c r="Q47" s="194"/>
      <c r="R47" s="194"/>
      <c r="S47" s="194"/>
      <c r="T47" s="194"/>
      <c r="U47" s="194"/>
      <c r="V47" s="194"/>
      <c r="W47" s="194"/>
      <c r="X47" s="194"/>
      <c r="Y47" s="193"/>
    </row>
    <row r="48" spans="1:25" x14ac:dyDescent="0.25">
      <c r="A48" s="279" t="s">
        <v>582</v>
      </c>
      <c r="B48" s="279" t="s">
        <v>480</v>
      </c>
      <c r="C48" s="278">
        <v>3.4999999999999999E-6</v>
      </c>
      <c r="D48" s="195">
        <v>7.3799999999999996E-6</v>
      </c>
      <c r="E48" s="195">
        <v>6.1500000000000004E-6</v>
      </c>
      <c r="F48" s="195">
        <v>4.9200000000000003E-6</v>
      </c>
      <c r="G48" s="195">
        <v>3.9400000000000004E-6</v>
      </c>
      <c r="H48" s="195">
        <v>3.6899999999999998E-6</v>
      </c>
      <c r="I48" s="195">
        <v>3.19E-6</v>
      </c>
      <c r="J48" s="195">
        <v>2.4600000000000002E-6</v>
      </c>
      <c r="K48" s="195">
        <v>1.11E-5</v>
      </c>
      <c r="L48" s="195">
        <v>9.8099999999999992E-6</v>
      </c>
      <c r="M48" s="195">
        <v>8.4999999999999999E-6</v>
      </c>
      <c r="N48" s="194">
        <f t="shared" ref="N48:X54" si="28">C48/C$3</f>
        <v>2.2012578616352201E-8</v>
      </c>
      <c r="O48" s="194">
        <f t="shared" si="28"/>
        <v>2.2029850746268655E-8</v>
      </c>
      <c r="P48" s="194">
        <f t="shared" si="28"/>
        <v>2.2043010752688175E-8</v>
      </c>
      <c r="Q48" s="194">
        <f t="shared" si="28"/>
        <v>2.2062780269058298E-8</v>
      </c>
      <c r="R48" s="194">
        <f t="shared" si="28"/>
        <v>2.2011173184357545E-8</v>
      </c>
      <c r="S48" s="194">
        <f t="shared" si="28"/>
        <v>2.2095808383233532E-8</v>
      </c>
      <c r="T48" s="194">
        <f t="shared" si="28"/>
        <v>2.1999999999999998E-8</v>
      </c>
      <c r="U48" s="194">
        <f t="shared" si="28"/>
        <v>2.1964285714285714E-8</v>
      </c>
      <c r="V48" s="194">
        <f t="shared" si="28"/>
        <v>2.2023809523809523E-8</v>
      </c>
      <c r="W48" s="194">
        <f t="shared" si="28"/>
        <v>2.2044943820224717E-8</v>
      </c>
      <c r="X48" s="194">
        <f t="shared" si="28"/>
        <v>2.2020725388601035E-8</v>
      </c>
      <c r="Y48" s="271">
        <f t="shared" ref="Y48:Y54" si="29">AVERAGE(N48:X48)</f>
        <v>2.2028087854443577E-8</v>
      </c>
    </row>
    <row r="49" spans="1:27" x14ac:dyDescent="0.25">
      <c r="A49" s="279" t="s">
        <v>581</v>
      </c>
      <c r="B49" s="279" t="s">
        <v>481</v>
      </c>
      <c r="C49" s="278">
        <v>8.7499999999999999E-7</v>
      </c>
      <c r="D49" s="195">
        <v>1.84E-6</v>
      </c>
      <c r="E49" s="195">
        <v>1.5400000000000001E-6</v>
      </c>
      <c r="F49" s="195">
        <v>1.2300000000000001E-6</v>
      </c>
      <c r="G49" s="195">
        <v>9.8400000000000002E-7</v>
      </c>
      <c r="H49" s="195">
        <v>9.2200000000000002E-7</v>
      </c>
      <c r="I49" s="195">
        <v>7.9800000000000003E-7</v>
      </c>
      <c r="J49" s="195">
        <v>6.1500000000000004E-7</v>
      </c>
      <c r="K49" s="195">
        <v>2.7800000000000001E-6</v>
      </c>
      <c r="L49" s="195">
        <v>2.4499999999999998E-6</v>
      </c>
      <c r="M49" s="195">
        <v>2.1299999999999999E-6</v>
      </c>
      <c r="N49" s="194">
        <f t="shared" si="28"/>
        <v>5.5031446540880502E-9</v>
      </c>
      <c r="O49" s="194">
        <f t="shared" si="28"/>
        <v>5.4925373134328355E-9</v>
      </c>
      <c r="P49" s="194">
        <f t="shared" si="28"/>
        <v>5.5197132616487457E-9</v>
      </c>
      <c r="Q49" s="194">
        <f t="shared" si="28"/>
        <v>5.5156950672645746E-9</v>
      </c>
      <c r="R49" s="194">
        <f t="shared" si="28"/>
        <v>5.4972067039106147E-9</v>
      </c>
      <c r="S49" s="194">
        <f t="shared" si="28"/>
        <v>5.5209580838323357E-9</v>
      </c>
      <c r="T49" s="194">
        <f t="shared" si="28"/>
        <v>5.5034482758620694E-9</v>
      </c>
      <c r="U49" s="194">
        <f t="shared" si="28"/>
        <v>5.4910714285714286E-9</v>
      </c>
      <c r="V49" s="194">
        <f t="shared" si="28"/>
        <v>5.5158730158730157E-9</v>
      </c>
      <c r="W49" s="194">
        <f t="shared" si="28"/>
        <v>5.5056179775280898E-9</v>
      </c>
      <c r="X49" s="194">
        <f t="shared" si="28"/>
        <v>5.5181347150259063E-9</v>
      </c>
      <c r="Y49" s="271">
        <f t="shared" si="29"/>
        <v>5.5075818633670603E-9</v>
      </c>
    </row>
    <row r="50" spans="1:27" x14ac:dyDescent="0.25">
      <c r="A50" s="279" t="s">
        <v>580</v>
      </c>
      <c r="B50" s="279" t="s">
        <v>482</v>
      </c>
      <c r="C50" s="278">
        <v>9.7699999999999995E-2</v>
      </c>
      <c r="D50" s="195">
        <v>0.20599999999999999</v>
      </c>
      <c r="E50" s="195">
        <v>0.17199999999999999</v>
      </c>
      <c r="F50" s="195">
        <v>0.13700000000000001</v>
      </c>
      <c r="G50" s="195">
        <v>0.11</v>
      </c>
      <c r="H50" s="195">
        <v>0.10299999999999999</v>
      </c>
      <c r="I50" s="195">
        <v>8.9099999999999999E-2</v>
      </c>
      <c r="J50" s="195">
        <v>6.8699999999999997E-2</v>
      </c>
      <c r="K50" s="195">
        <v>0.31</v>
      </c>
      <c r="L50" s="195">
        <v>0.27400000000000002</v>
      </c>
      <c r="M50" s="195">
        <v>0.23699999999999999</v>
      </c>
      <c r="N50" s="194">
        <f t="shared" si="28"/>
        <v>6.144654088050314E-4</v>
      </c>
      <c r="O50" s="194">
        <f t="shared" si="28"/>
        <v>6.1492537313432834E-4</v>
      </c>
      <c r="P50" s="194">
        <f t="shared" si="28"/>
        <v>6.1648745519713257E-4</v>
      </c>
      <c r="Q50" s="194">
        <f t="shared" si="28"/>
        <v>6.1434977578475342E-4</v>
      </c>
      <c r="R50" s="194">
        <f t="shared" si="28"/>
        <v>6.1452513966480445E-4</v>
      </c>
      <c r="S50" s="194">
        <f t="shared" si="28"/>
        <v>6.1676646706586822E-4</v>
      </c>
      <c r="T50" s="194">
        <f t="shared" si="28"/>
        <v>6.1448275862068967E-4</v>
      </c>
      <c r="U50" s="194">
        <f t="shared" si="28"/>
        <v>6.1339285714285716E-4</v>
      </c>
      <c r="V50" s="194">
        <f t="shared" si="28"/>
        <v>6.1507936507936511E-4</v>
      </c>
      <c r="W50" s="194">
        <f t="shared" si="28"/>
        <v>6.1573033707865176E-4</v>
      </c>
      <c r="X50" s="194">
        <f t="shared" si="28"/>
        <v>6.1398963730569943E-4</v>
      </c>
      <c r="Y50" s="271">
        <f t="shared" si="29"/>
        <v>6.1492677953447095E-4</v>
      </c>
    </row>
    <row r="51" spans="1:27" x14ac:dyDescent="0.25">
      <c r="A51" s="279" t="s">
        <v>579</v>
      </c>
      <c r="B51" s="279" t="s">
        <v>483</v>
      </c>
      <c r="C51" s="278">
        <v>1.0499999999999999E-5</v>
      </c>
      <c r="D51" s="195">
        <v>2.2099999999999998E-5</v>
      </c>
      <c r="E51" s="195">
        <v>1.84E-5</v>
      </c>
      <c r="F51" s="195">
        <v>1.4800000000000001E-5</v>
      </c>
      <c r="G51" s="195">
        <v>1.1800000000000001E-5</v>
      </c>
      <c r="H51" s="195">
        <v>1.11E-5</v>
      </c>
      <c r="I51" s="195">
        <v>9.5699999999999999E-6</v>
      </c>
      <c r="J51" s="195">
        <v>7.3799999999999996E-6</v>
      </c>
      <c r="K51" s="195">
        <v>3.3399999999999999E-5</v>
      </c>
      <c r="L51" s="195">
        <v>2.94E-5</v>
      </c>
      <c r="M51" s="195">
        <v>2.55E-5</v>
      </c>
      <c r="N51" s="194">
        <f t="shared" si="28"/>
        <v>6.6037735849056605E-8</v>
      </c>
      <c r="O51" s="194">
        <f t="shared" si="28"/>
        <v>6.5970149253731339E-8</v>
      </c>
      <c r="P51" s="194">
        <f t="shared" si="28"/>
        <v>6.594982078853046E-8</v>
      </c>
      <c r="Q51" s="194">
        <f t="shared" si="28"/>
        <v>6.6367713004484305E-8</v>
      </c>
      <c r="R51" s="194">
        <f t="shared" si="28"/>
        <v>6.5921787709497211E-8</v>
      </c>
      <c r="S51" s="194">
        <f t="shared" si="28"/>
        <v>6.6467065868263477E-8</v>
      </c>
      <c r="T51" s="194">
        <f t="shared" si="28"/>
        <v>6.5999999999999995E-8</v>
      </c>
      <c r="U51" s="194">
        <f t="shared" si="28"/>
        <v>6.589285714285714E-8</v>
      </c>
      <c r="V51" s="194">
        <f t="shared" si="28"/>
        <v>6.6269841269841261E-8</v>
      </c>
      <c r="W51" s="194">
        <f t="shared" si="28"/>
        <v>6.6067415730337074E-8</v>
      </c>
      <c r="X51" s="194">
        <f t="shared" si="28"/>
        <v>6.6062176165803102E-8</v>
      </c>
      <c r="Y51" s="271">
        <f t="shared" si="29"/>
        <v>6.6091505707491083E-8</v>
      </c>
    </row>
    <row r="52" spans="1:27" x14ac:dyDescent="0.25">
      <c r="A52" s="279" t="s">
        <v>578</v>
      </c>
      <c r="B52" s="279" t="s">
        <v>484</v>
      </c>
      <c r="C52" s="278">
        <v>3.7199999999999997E-2</v>
      </c>
      <c r="D52" s="195">
        <v>7.8399999999999997E-2</v>
      </c>
      <c r="E52" s="195">
        <v>6.5299999999999997E-2</v>
      </c>
      <c r="F52" s="195">
        <v>5.2299999999999999E-2</v>
      </c>
      <c r="G52" s="195">
        <v>4.19E-2</v>
      </c>
      <c r="H52" s="195">
        <v>3.9199999999999999E-2</v>
      </c>
      <c r="I52" s="195">
        <v>3.39E-2</v>
      </c>
      <c r="J52" s="195">
        <v>2.6100000000000002E-2</v>
      </c>
      <c r="K52" s="195">
        <v>0.11799999999999999</v>
      </c>
      <c r="L52" s="195">
        <v>0.104</v>
      </c>
      <c r="M52" s="195">
        <v>9.0399999999999994E-2</v>
      </c>
      <c r="N52" s="194">
        <f t="shared" si="28"/>
        <v>2.3396226415094338E-4</v>
      </c>
      <c r="O52" s="194">
        <f t="shared" si="28"/>
        <v>2.3402985074626864E-4</v>
      </c>
      <c r="P52" s="194">
        <f t="shared" si="28"/>
        <v>2.3405017921146953E-4</v>
      </c>
      <c r="Q52" s="194">
        <f t="shared" si="28"/>
        <v>2.3452914798206278E-4</v>
      </c>
      <c r="R52" s="194">
        <f t="shared" si="28"/>
        <v>2.3407821229050278E-4</v>
      </c>
      <c r="S52" s="194">
        <f t="shared" si="28"/>
        <v>2.3473053892215568E-4</v>
      </c>
      <c r="T52" s="194">
        <f t="shared" si="28"/>
        <v>2.3379310344827587E-4</v>
      </c>
      <c r="U52" s="194">
        <f t="shared" si="28"/>
        <v>2.330357142857143E-4</v>
      </c>
      <c r="V52" s="194">
        <f t="shared" si="28"/>
        <v>2.3412698412698412E-4</v>
      </c>
      <c r="W52" s="194">
        <f t="shared" si="28"/>
        <v>2.3370786516853931E-4</v>
      </c>
      <c r="X52" s="194">
        <f t="shared" si="28"/>
        <v>2.3419689119170983E-4</v>
      </c>
      <c r="Y52" s="271">
        <f t="shared" si="29"/>
        <v>2.3402188650223875E-4</v>
      </c>
    </row>
    <row r="53" spans="1:27" x14ac:dyDescent="0.25">
      <c r="A53" s="279" t="s">
        <v>577</v>
      </c>
      <c r="B53" s="279" t="s">
        <v>485</v>
      </c>
      <c r="C53" s="278">
        <v>582</v>
      </c>
      <c r="D53" s="195">
        <v>1230</v>
      </c>
      <c r="E53" s="195">
        <v>1020</v>
      </c>
      <c r="F53" s="195">
        <v>818</v>
      </c>
      <c r="G53" s="195">
        <v>655</v>
      </c>
      <c r="H53" s="195">
        <v>614</v>
      </c>
      <c r="I53" s="195">
        <v>531</v>
      </c>
      <c r="J53" s="195">
        <v>409</v>
      </c>
      <c r="K53" s="195">
        <v>1850</v>
      </c>
      <c r="L53" s="195">
        <v>1630</v>
      </c>
      <c r="M53" s="195">
        <v>1410</v>
      </c>
      <c r="N53" s="194">
        <f t="shared" si="28"/>
        <v>3.6603773584905661</v>
      </c>
      <c r="O53" s="194">
        <f t="shared" si="28"/>
        <v>3.6716417910447761</v>
      </c>
      <c r="P53" s="194">
        <f t="shared" si="28"/>
        <v>3.6559139784946235</v>
      </c>
      <c r="Q53" s="194">
        <f t="shared" si="28"/>
        <v>3.6681614349775784</v>
      </c>
      <c r="R53" s="194">
        <f t="shared" si="28"/>
        <v>3.6592178770949721</v>
      </c>
      <c r="S53" s="194">
        <f t="shared" si="28"/>
        <v>3.6766467065868262</v>
      </c>
      <c r="T53" s="194">
        <f t="shared" si="28"/>
        <v>3.6620689655172414</v>
      </c>
      <c r="U53" s="194">
        <f t="shared" si="28"/>
        <v>3.6517857142857144</v>
      </c>
      <c r="V53" s="194">
        <f t="shared" si="28"/>
        <v>3.6706349206349205</v>
      </c>
      <c r="W53" s="194">
        <f t="shared" si="28"/>
        <v>3.6629213483146068</v>
      </c>
      <c r="X53" s="194">
        <f t="shared" si="28"/>
        <v>3.6528497409326426</v>
      </c>
      <c r="Y53" s="271">
        <f t="shared" si="29"/>
        <v>3.6629290760340427</v>
      </c>
    </row>
    <row r="54" spans="1:27" x14ac:dyDescent="0.25">
      <c r="A54" s="279" t="s">
        <v>576</v>
      </c>
      <c r="B54" s="279" t="s">
        <v>486</v>
      </c>
      <c r="C54" s="278">
        <v>5.2499999999999997E-6</v>
      </c>
      <c r="D54" s="195">
        <v>1.11E-5</v>
      </c>
      <c r="E54" s="195">
        <v>9.2199999999999998E-6</v>
      </c>
      <c r="F54" s="195">
        <v>7.3799999999999996E-6</v>
      </c>
      <c r="G54" s="195">
        <v>5.9100000000000002E-6</v>
      </c>
      <c r="H54" s="195">
        <v>5.5300000000000004E-6</v>
      </c>
      <c r="I54" s="195">
        <v>4.7899999999999999E-6</v>
      </c>
      <c r="J54" s="195">
        <v>3.6899999999999998E-6</v>
      </c>
      <c r="K54" s="195">
        <v>1.6699999999999999E-5</v>
      </c>
      <c r="L54" s="195">
        <v>1.47E-5</v>
      </c>
      <c r="M54" s="195">
        <v>1.2799999999999999E-5</v>
      </c>
      <c r="N54" s="194">
        <f t="shared" si="28"/>
        <v>3.3018867924528303E-8</v>
      </c>
      <c r="O54" s="194">
        <f t="shared" si="28"/>
        <v>3.3134328358208959E-8</v>
      </c>
      <c r="P54" s="194">
        <f t="shared" si="28"/>
        <v>3.3046594982078852E-8</v>
      </c>
      <c r="Q54" s="194">
        <f t="shared" si="28"/>
        <v>3.3094170403587442E-8</v>
      </c>
      <c r="R54" s="194">
        <f t="shared" si="28"/>
        <v>3.3016759776536311E-8</v>
      </c>
      <c r="S54" s="194">
        <f t="shared" si="28"/>
        <v>3.311377245508982E-8</v>
      </c>
      <c r="T54" s="194">
        <f t="shared" si="28"/>
        <v>3.3034482758620692E-8</v>
      </c>
      <c r="U54" s="194">
        <f t="shared" si="28"/>
        <v>3.294642857142857E-8</v>
      </c>
      <c r="V54" s="194">
        <f t="shared" si="28"/>
        <v>3.313492063492063E-8</v>
      </c>
      <c r="W54" s="194">
        <f t="shared" si="28"/>
        <v>3.3033707865168537E-8</v>
      </c>
      <c r="X54" s="194">
        <f t="shared" si="28"/>
        <v>3.3160621761658031E-8</v>
      </c>
      <c r="Y54" s="271">
        <f t="shared" si="29"/>
        <v>3.3066786862893281E-8</v>
      </c>
    </row>
    <row r="55" spans="1:27" x14ac:dyDescent="0.25">
      <c r="A55" s="279" t="s">
        <v>82</v>
      </c>
      <c r="B55" s="279"/>
      <c r="C55" s="280"/>
      <c r="D55" s="195"/>
      <c r="E55" s="195"/>
      <c r="F55" s="195"/>
      <c r="G55" s="195"/>
      <c r="H55" s="195"/>
      <c r="I55" s="195"/>
      <c r="J55" s="195"/>
      <c r="K55" s="196"/>
      <c r="L55" s="196"/>
      <c r="M55" s="196"/>
      <c r="N55" s="194"/>
      <c r="O55" s="194"/>
      <c r="P55" s="194"/>
      <c r="Q55" s="194"/>
      <c r="R55" s="194"/>
      <c r="S55" s="194"/>
      <c r="T55" s="194"/>
      <c r="U55" s="194"/>
      <c r="V55" s="194"/>
      <c r="W55" s="194"/>
      <c r="X55" s="194"/>
      <c r="Y55" s="193"/>
    </row>
    <row r="56" spans="1:27" x14ac:dyDescent="0.25">
      <c r="A56" s="279" t="s">
        <v>575</v>
      </c>
      <c r="B56" s="279" t="s">
        <v>487</v>
      </c>
      <c r="C56" s="278">
        <v>7.5500000000000003E-4</v>
      </c>
      <c r="D56" s="195">
        <v>1.5900000000000001E-3</v>
      </c>
      <c r="E56" s="195">
        <v>1.33E-3</v>
      </c>
      <c r="F56" s="195">
        <v>1.06E-3</v>
      </c>
      <c r="G56" s="195">
        <v>8.4999999999999995E-4</v>
      </c>
      <c r="H56" s="195">
        <v>7.9600000000000005E-4</v>
      </c>
      <c r="I56" s="195">
        <v>6.8900000000000005E-4</v>
      </c>
      <c r="J56" s="195">
        <v>5.31E-4</v>
      </c>
      <c r="K56" s="195">
        <v>2.3999999999999998E-3</v>
      </c>
      <c r="L56" s="195">
        <v>2.1199999999999999E-3</v>
      </c>
      <c r="M56" s="195">
        <v>1.83E-3</v>
      </c>
      <c r="N56" s="194">
        <f t="shared" ref="N56:N70" si="30">C56/C$3</f>
        <v>4.7484276729559747E-6</v>
      </c>
      <c r="O56" s="194">
        <f t="shared" ref="O56:O70" si="31">D56/D$3</f>
        <v>4.7462686567164183E-6</v>
      </c>
      <c r="P56" s="194">
        <f t="shared" ref="P56:P70" si="32">E56/E$3</f>
        <v>4.7670250896057346E-6</v>
      </c>
      <c r="Q56" s="194">
        <f t="shared" ref="Q56:Q70" si="33">F56/F$3</f>
        <v>4.7533632286995511E-6</v>
      </c>
      <c r="R56" s="194">
        <f t="shared" ref="R56:R70" si="34">G56/G$3</f>
        <v>4.7486033519553072E-6</v>
      </c>
      <c r="S56" s="194">
        <f t="shared" ref="S56:S70" si="35">H56/H$3</f>
        <v>4.7664670658682641E-6</v>
      </c>
      <c r="T56" s="194">
        <f t="shared" ref="T56:T70" si="36">I56/I$3</f>
        <v>4.7517241379310344E-6</v>
      </c>
      <c r="U56" s="194">
        <f t="shared" ref="U56:U70" si="37">J56/J$3</f>
        <v>4.7410714285714283E-6</v>
      </c>
      <c r="V56" s="194">
        <f t="shared" ref="V56:V70" si="38">K56/K$3</f>
        <v>4.7619047619047615E-6</v>
      </c>
      <c r="W56" s="194">
        <f t="shared" ref="W56:W70" si="39">L56/L$3</f>
        <v>4.7640449438202249E-6</v>
      </c>
      <c r="X56" s="194">
        <f t="shared" ref="X56:X70" si="40">M56/M$3</f>
        <v>4.7409326424870467E-6</v>
      </c>
      <c r="Y56" s="271">
        <f t="shared" ref="Y56:Y69" si="41">AVERAGE(N56:X56)</f>
        <v>4.7536211800468865E-6</v>
      </c>
    </row>
    <row r="57" spans="1:27" x14ac:dyDescent="0.25">
      <c r="A57" s="279" t="s">
        <v>574</v>
      </c>
      <c r="B57" s="279" t="s">
        <v>488</v>
      </c>
      <c r="C57" s="278">
        <v>144</v>
      </c>
      <c r="D57" s="195">
        <v>303</v>
      </c>
      <c r="E57" s="195">
        <v>252</v>
      </c>
      <c r="F57" s="195">
        <v>202</v>
      </c>
      <c r="G57" s="195">
        <v>162</v>
      </c>
      <c r="H57" s="195">
        <v>151</v>
      </c>
      <c r="I57" s="195">
        <v>131</v>
      </c>
      <c r="J57" s="195">
        <v>101</v>
      </c>
      <c r="K57" s="195">
        <v>457</v>
      </c>
      <c r="L57" s="195">
        <v>403</v>
      </c>
      <c r="M57" s="195">
        <v>349</v>
      </c>
      <c r="N57" s="194">
        <f t="shared" si="30"/>
        <v>0.90566037735849059</v>
      </c>
      <c r="O57" s="194">
        <f t="shared" si="31"/>
        <v>0.90447761194029852</v>
      </c>
      <c r="P57" s="194">
        <f t="shared" si="32"/>
        <v>0.90322580645161288</v>
      </c>
      <c r="Q57" s="194">
        <f t="shared" si="33"/>
        <v>0.905829596412556</v>
      </c>
      <c r="R57" s="194">
        <f t="shared" si="34"/>
        <v>0.9050279329608939</v>
      </c>
      <c r="S57" s="194">
        <f t="shared" si="35"/>
        <v>0.90419161676646709</v>
      </c>
      <c r="T57" s="194">
        <f t="shared" si="36"/>
        <v>0.90344827586206899</v>
      </c>
      <c r="U57" s="194">
        <f t="shared" si="37"/>
        <v>0.9017857142857143</v>
      </c>
      <c r="V57" s="194">
        <f t="shared" si="38"/>
        <v>0.90674603174603174</v>
      </c>
      <c r="W57" s="194">
        <f t="shared" si="39"/>
        <v>0.90561797752808992</v>
      </c>
      <c r="X57" s="194">
        <f t="shared" si="40"/>
        <v>0.90414507772020725</v>
      </c>
      <c r="Y57" s="271">
        <f t="shared" si="41"/>
        <v>0.90455963809385753</v>
      </c>
    </row>
    <row r="58" spans="1:27" x14ac:dyDescent="0.25">
      <c r="A58" s="279" t="s">
        <v>573</v>
      </c>
      <c r="B58" s="279"/>
      <c r="C58" s="278">
        <v>87.5</v>
      </c>
      <c r="D58" s="195">
        <v>184</v>
      </c>
      <c r="E58" s="195">
        <v>154</v>
      </c>
      <c r="F58" s="195">
        <v>123</v>
      </c>
      <c r="G58" s="195">
        <v>98.4</v>
      </c>
      <c r="H58" s="195">
        <v>92.2</v>
      </c>
      <c r="I58" s="195">
        <v>79.8</v>
      </c>
      <c r="J58" s="195">
        <v>61.5</v>
      </c>
      <c r="K58" s="195">
        <v>278</v>
      </c>
      <c r="L58" s="195">
        <v>245</v>
      </c>
      <c r="M58" s="195">
        <v>212</v>
      </c>
      <c r="N58" s="194">
        <f t="shared" si="30"/>
        <v>0.55031446540880502</v>
      </c>
      <c r="O58" s="194">
        <f t="shared" si="31"/>
        <v>0.54925373134328359</v>
      </c>
      <c r="P58" s="194">
        <f t="shared" si="32"/>
        <v>0.55197132616487454</v>
      </c>
      <c r="Q58" s="194">
        <f t="shared" si="33"/>
        <v>0.55156950672645744</v>
      </c>
      <c r="R58" s="194">
        <f t="shared" si="34"/>
        <v>0.54972067039106154</v>
      </c>
      <c r="S58" s="194">
        <f t="shared" si="35"/>
        <v>0.55209580838323358</v>
      </c>
      <c r="T58" s="194">
        <f t="shared" si="36"/>
        <v>0.55034482758620684</v>
      </c>
      <c r="U58" s="194">
        <f t="shared" si="37"/>
        <v>0.5491071428571429</v>
      </c>
      <c r="V58" s="194">
        <f t="shared" si="38"/>
        <v>0.55158730158730163</v>
      </c>
      <c r="W58" s="194">
        <f t="shared" si="39"/>
        <v>0.550561797752809</v>
      </c>
      <c r="X58" s="194">
        <f t="shared" si="40"/>
        <v>0.54922279792746109</v>
      </c>
      <c r="Y58" s="193">
        <f t="shared" si="41"/>
        <v>0.55052267055714887</v>
      </c>
    </row>
    <row r="59" spans="1:27" x14ac:dyDescent="0.25">
      <c r="A59" s="279" t="s">
        <v>572</v>
      </c>
      <c r="B59" s="279"/>
      <c r="C59" s="278">
        <v>56.3</v>
      </c>
      <c r="D59" s="195">
        <v>119</v>
      </c>
      <c r="E59" s="195">
        <v>98.8</v>
      </c>
      <c r="F59" s="195">
        <v>79.099999999999994</v>
      </c>
      <c r="G59" s="195">
        <v>63.3</v>
      </c>
      <c r="H59" s="195">
        <v>59.3</v>
      </c>
      <c r="I59" s="195">
        <v>51.3</v>
      </c>
      <c r="J59" s="195">
        <v>39.5</v>
      </c>
      <c r="K59" s="195">
        <v>179</v>
      </c>
      <c r="L59" s="195">
        <v>158</v>
      </c>
      <c r="M59" s="195">
        <v>137</v>
      </c>
      <c r="N59" s="194">
        <f t="shared" si="30"/>
        <v>0.35408805031446539</v>
      </c>
      <c r="O59" s="194">
        <f t="shared" si="31"/>
        <v>0.35522388059701493</v>
      </c>
      <c r="P59" s="194">
        <f t="shared" si="32"/>
        <v>0.35412186379928312</v>
      </c>
      <c r="Q59" s="194">
        <f t="shared" si="33"/>
        <v>0.35470852017937216</v>
      </c>
      <c r="R59" s="194">
        <f t="shared" si="34"/>
        <v>0.35363128491620111</v>
      </c>
      <c r="S59" s="194">
        <f t="shared" si="35"/>
        <v>0.35508982035928144</v>
      </c>
      <c r="T59" s="194">
        <f t="shared" si="36"/>
        <v>0.35379310344827586</v>
      </c>
      <c r="U59" s="194">
        <f t="shared" si="37"/>
        <v>0.35267857142857145</v>
      </c>
      <c r="V59" s="194">
        <f t="shared" si="38"/>
        <v>0.35515873015873017</v>
      </c>
      <c r="W59" s="194">
        <f t="shared" si="39"/>
        <v>0.35505617977528092</v>
      </c>
      <c r="X59" s="194">
        <f t="shared" si="40"/>
        <v>0.3549222797927461</v>
      </c>
      <c r="Y59" s="193">
        <f t="shared" si="41"/>
        <v>0.35440657134265663</v>
      </c>
    </row>
    <row r="60" spans="1:27" x14ac:dyDescent="0.25">
      <c r="A60" s="279" t="s">
        <v>571</v>
      </c>
      <c r="B60" s="279" t="s">
        <v>489</v>
      </c>
      <c r="C60" s="278">
        <v>0.17</v>
      </c>
      <c r="D60" s="195">
        <v>0.35699999999999998</v>
      </c>
      <c r="E60" s="195">
        <v>0.29799999999999999</v>
      </c>
      <c r="F60" s="195">
        <v>0.23799999999999999</v>
      </c>
      <c r="G60" s="195">
        <v>0.191</v>
      </c>
      <c r="H60" s="195">
        <v>0.17899999999999999</v>
      </c>
      <c r="I60" s="195">
        <v>0.155</v>
      </c>
      <c r="J60" s="195">
        <v>0.11899999999999999</v>
      </c>
      <c r="K60" s="195">
        <v>0.53800000000000003</v>
      </c>
      <c r="L60" s="195">
        <v>0.47499999999999998</v>
      </c>
      <c r="M60" s="195">
        <v>0.41199999999999998</v>
      </c>
      <c r="N60" s="194">
        <f t="shared" si="30"/>
        <v>1.069182389937107E-3</v>
      </c>
      <c r="O60" s="194">
        <f t="shared" si="31"/>
        <v>1.0656716417910448E-3</v>
      </c>
      <c r="P60" s="194">
        <f t="shared" si="32"/>
        <v>1.0681003584229391E-3</v>
      </c>
      <c r="Q60" s="194">
        <f t="shared" si="33"/>
        <v>1.0672645739910314E-3</v>
      </c>
      <c r="R60" s="194">
        <f t="shared" si="34"/>
        <v>1.0670391061452513E-3</v>
      </c>
      <c r="S60" s="194">
        <f t="shared" si="35"/>
        <v>1.0718562874251496E-3</v>
      </c>
      <c r="T60" s="194">
        <f t="shared" si="36"/>
        <v>1.0689655172413793E-3</v>
      </c>
      <c r="U60" s="194">
        <f t="shared" si="37"/>
        <v>1.0624999999999999E-3</v>
      </c>
      <c r="V60" s="194">
        <f t="shared" si="38"/>
        <v>1.0674603174603175E-3</v>
      </c>
      <c r="W60" s="194">
        <f t="shared" si="39"/>
        <v>1.0674157303370785E-3</v>
      </c>
      <c r="X60" s="194">
        <f t="shared" si="40"/>
        <v>1.0673575129533678E-3</v>
      </c>
      <c r="Y60" s="271">
        <f t="shared" si="41"/>
        <v>1.0675284941549699E-3</v>
      </c>
    </row>
    <row r="61" spans="1:27" x14ac:dyDescent="0.25">
      <c r="A61" s="279" t="s">
        <v>570</v>
      </c>
      <c r="B61" s="279"/>
      <c r="C61" s="278">
        <v>2.3199999999999999E-8</v>
      </c>
      <c r="D61" s="195">
        <v>4.88E-8</v>
      </c>
      <c r="E61" s="195">
        <v>4.07E-8</v>
      </c>
      <c r="F61" s="195">
        <v>3.25E-8</v>
      </c>
      <c r="G61" s="195">
        <v>2.6099999999999999E-8</v>
      </c>
      <c r="H61" s="195">
        <v>2.44E-8</v>
      </c>
      <c r="I61" s="195">
        <v>2.11E-8</v>
      </c>
      <c r="J61" s="195">
        <v>1.63E-8</v>
      </c>
      <c r="K61" s="195">
        <v>7.3599999999999997E-8</v>
      </c>
      <c r="L61" s="195">
        <v>6.4900000000000005E-8</v>
      </c>
      <c r="M61" s="195">
        <v>5.6300000000000001E-8</v>
      </c>
      <c r="N61" s="194">
        <f t="shared" si="30"/>
        <v>1.4591194968553459E-10</v>
      </c>
      <c r="O61" s="194">
        <f t="shared" si="31"/>
        <v>1.4567164179104477E-10</v>
      </c>
      <c r="P61" s="194">
        <f t="shared" si="32"/>
        <v>1.4587813620071685E-10</v>
      </c>
      <c r="Q61" s="194">
        <f t="shared" si="33"/>
        <v>1.4573991031390133E-10</v>
      </c>
      <c r="R61" s="194">
        <f t="shared" si="34"/>
        <v>1.4581005586592177E-10</v>
      </c>
      <c r="S61" s="194">
        <f t="shared" si="35"/>
        <v>1.4610778443113772E-10</v>
      </c>
      <c r="T61" s="194">
        <f t="shared" si="36"/>
        <v>1.4551724137931035E-10</v>
      </c>
      <c r="U61" s="194">
        <f t="shared" si="37"/>
        <v>1.455357142857143E-10</v>
      </c>
      <c r="V61" s="194">
        <f t="shared" si="38"/>
        <v>1.4603174603174603E-10</v>
      </c>
      <c r="W61" s="194">
        <f t="shared" si="39"/>
        <v>1.4584269662921348E-10</v>
      </c>
      <c r="X61" s="194">
        <f t="shared" si="40"/>
        <v>1.4585492227979276E-10</v>
      </c>
      <c r="Y61" s="193">
        <f t="shared" si="41"/>
        <v>1.4580925444491221E-10</v>
      </c>
      <c r="Z61">
        <v>1</v>
      </c>
      <c r="AA61" t="s">
        <v>569</v>
      </c>
    </row>
    <row r="62" spans="1:27" x14ac:dyDescent="0.25">
      <c r="A62" s="279" t="s">
        <v>568</v>
      </c>
      <c r="B62" s="279" t="s">
        <v>490</v>
      </c>
      <c r="C62" s="278">
        <v>1.1599999999999999E-2</v>
      </c>
      <c r="D62" s="195">
        <v>2.4500000000000001E-2</v>
      </c>
      <c r="E62" s="195">
        <v>2.0400000000000001E-2</v>
      </c>
      <c r="F62" s="195">
        <v>1.6299999999999999E-2</v>
      </c>
      <c r="G62" s="195">
        <v>1.3100000000000001E-2</v>
      </c>
      <c r="H62" s="195">
        <v>1.2200000000000001E-2</v>
      </c>
      <c r="I62" s="195">
        <v>1.06E-2</v>
      </c>
      <c r="J62" s="195">
        <v>8.1600000000000006E-3</v>
      </c>
      <c r="K62" s="195">
        <v>3.6900000000000002E-2</v>
      </c>
      <c r="L62" s="195">
        <v>3.2599999999999997E-2</v>
      </c>
      <c r="M62" s="195">
        <v>2.8199999999999999E-2</v>
      </c>
      <c r="N62" s="194">
        <f t="shared" si="30"/>
        <v>7.2955974842767296E-5</v>
      </c>
      <c r="O62" s="194">
        <f t="shared" si="31"/>
        <v>7.3134328358208958E-5</v>
      </c>
      <c r="P62" s="194">
        <f t="shared" si="32"/>
        <v>7.3118279569892478E-5</v>
      </c>
      <c r="Q62" s="194">
        <f t="shared" si="33"/>
        <v>7.3094170403587442E-5</v>
      </c>
      <c r="R62" s="194">
        <f t="shared" si="34"/>
        <v>7.3184357541899444E-5</v>
      </c>
      <c r="S62" s="194">
        <f t="shared" si="35"/>
        <v>7.3053892215568862E-5</v>
      </c>
      <c r="T62" s="194">
        <f t="shared" si="36"/>
        <v>7.3103448275862063E-5</v>
      </c>
      <c r="U62" s="194">
        <f t="shared" si="37"/>
        <v>7.285714285714286E-5</v>
      </c>
      <c r="V62" s="194">
        <f t="shared" si="38"/>
        <v>7.321428571428572E-5</v>
      </c>
      <c r="W62" s="194">
        <f t="shared" si="39"/>
        <v>7.3258426966292124E-5</v>
      </c>
      <c r="X62" s="194">
        <f t="shared" si="40"/>
        <v>7.3056994818652843E-5</v>
      </c>
      <c r="Y62" s="271">
        <f t="shared" si="41"/>
        <v>7.3093754687650914E-5</v>
      </c>
    </row>
    <row r="63" spans="1:27" x14ac:dyDescent="0.25">
      <c r="A63" s="279" t="s">
        <v>567</v>
      </c>
      <c r="B63" s="279" t="s">
        <v>491</v>
      </c>
      <c r="C63" s="278">
        <v>9.6600000000000007E-6</v>
      </c>
      <c r="D63" s="195">
        <v>2.0400000000000001E-5</v>
      </c>
      <c r="E63" s="195">
        <v>1.7E-5</v>
      </c>
      <c r="F63" s="195">
        <v>1.36E-5</v>
      </c>
      <c r="G63" s="195">
        <v>1.0900000000000001E-5</v>
      </c>
      <c r="H63" s="195">
        <v>1.0200000000000001E-5</v>
      </c>
      <c r="I63" s="195">
        <v>8.8100000000000004E-6</v>
      </c>
      <c r="J63" s="195">
        <v>6.7900000000000002E-6</v>
      </c>
      <c r="K63" s="195">
        <v>3.0700000000000001E-5</v>
      </c>
      <c r="L63" s="195">
        <v>2.7100000000000001E-5</v>
      </c>
      <c r="M63" s="195">
        <v>2.3499999999999999E-5</v>
      </c>
      <c r="N63" s="194">
        <f t="shared" si="30"/>
        <v>6.0754716981132086E-8</v>
      </c>
      <c r="O63" s="194">
        <f t="shared" si="31"/>
        <v>6.0895522388059706E-8</v>
      </c>
      <c r="P63" s="194">
        <f t="shared" si="32"/>
        <v>6.0931899641577056E-8</v>
      </c>
      <c r="Q63" s="194">
        <f t="shared" si="33"/>
        <v>6.09865470852018E-8</v>
      </c>
      <c r="R63" s="194">
        <f t="shared" si="34"/>
        <v>6.0893854748603354E-8</v>
      </c>
      <c r="S63" s="194">
        <f t="shared" si="35"/>
        <v>6.1077844311377255E-8</v>
      </c>
      <c r="T63" s="194">
        <f t="shared" si="36"/>
        <v>6.0758620689655172E-8</v>
      </c>
      <c r="U63" s="194">
        <f t="shared" si="37"/>
        <v>6.0625000000000002E-8</v>
      </c>
      <c r="V63" s="194">
        <f t="shared" si="38"/>
        <v>6.0912698412698421E-8</v>
      </c>
      <c r="W63" s="194">
        <f t="shared" si="39"/>
        <v>6.0898876404494385E-8</v>
      </c>
      <c r="X63" s="194">
        <f t="shared" si="40"/>
        <v>6.0880829015544037E-8</v>
      </c>
      <c r="Y63" s="271">
        <f t="shared" si="41"/>
        <v>6.0874219061667579E-8</v>
      </c>
    </row>
    <row r="64" spans="1:27" x14ac:dyDescent="0.25">
      <c r="A64" s="279" t="s">
        <v>566</v>
      </c>
      <c r="B64" s="279" t="s">
        <v>492</v>
      </c>
      <c r="C64" s="278">
        <v>5.9199999999999999E-3</v>
      </c>
      <c r="D64" s="195">
        <v>1.2500000000000001E-2</v>
      </c>
      <c r="E64" s="195">
        <v>1.04E-2</v>
      </c>
      <c r="F64" s="195">
        <v>8.3099999999999997E-3</v>
      </c>
      <c r="G64" s="195">
        <v>6.6600000000000001E-3</v>
      </c>
      <c r="H64" s="195">
        <v>6.2399999999999999E-3</v>
      </c>
      <c r="I64" s="195">
        <v>5.4000000000000003E-3</v>
      </c>
      <c r="J64" s="195">
        <v>4.1599999999999996E-3</v>
      </c>
      <c r="K64" s="195">
        <v>1.8800000000000001E-2</v>
      </c>
      <c r="L64" s="195">
        <v>1.66E-2</v>
      </c>
      <c r="M64" s="195">
        <v>1.44E-2</v>
      </c>
      <c r="N64" s="194">
        <f t="shared" si="30"/>
        <v>3.7232704402515726E-5</v>
      </c>
      <c r="O64" s="194">
        <f t="shared" si="31"/>
        <v>3.7313432835820896E-5</v>
      </c>
      <c r="P64" s="194">
        <f t="shared" si="32"/>
        <v>3.7275985663082435E-5</v>
      </c>
      <c r="Q64" s="194">
        <f t="shared" si="33"/>
        <v>3.7264573991031389E-5</v>
      </c>
      <c r="R64" s="194">
        <f t="shared" si="34"/>
        <v>3.7206703910614526E-5</v>
      </c>
      <c r="S64" s="194">
        <f t="shared" si="35"/>
        <v>3.7365269461077846E-5</v>
      </c>
      <c r="T64" s="194">
        <f t="shared" si="36"/>
        <v>3.724137931034483E-5</v>
      </c>
      <c r="U64" s="194">
        <f t="shared" si="37"/>
        <v>3.7142857142857137E-5</v>
      </c>
      <c r="V64" s="194">
        <f t="shared" si="38"/>
        <v>3.73015873015873E-5</v>
      </c>
      <c r="W64" s="194">
        <f t="shared" si="39"/>
        <v>3.7303370786516852E-5</v>
      </c>
      <c r="X64" s="194">
        <f t="shared" si="40"/>
        <v>3.7305699481865282E-5</v>
      </c>
      <c r="Y64" s="271">
        <f t="shared" si="41"/>
        <v>3.7268505844301291E-5</v>
      </c>
    </row>
    <row r="65" spans="1:26" x14ac:dyDescent="0.25">
      <c r="A65" s="279" t="s">
        <v>565</v>
      </c>
      <c r="B65" s="279" t="s">
        <v>493</v>
      </c>
      <c r="C65" s="278">
        <v>0.35499999999999998</v>
      </c>
      <c r="D65" s="195">
        <v>0.749</v>
      </c>
      <c r="E65" s="195">
        <v>0.624</v>
      </c>
      <c r="F65" s="195">
        <v>0.499</v>
      </c>
      <c r="G65" s="195">
        <v>0.4</v>
      </c>
      <c r="H65" s="195">
        <v>0.374</v>
      </c>
      <c r="I65" s="195">
        <v>0.32400000000000001</v>
      </c>
      <c r="J65" s="195">
        <v>0.25</v>
      </c>
      <c r="K65" s="195">
        <v>1.1299999999999999</v>
      </c>
      <c r="L65" s="195">
        <v>0.996</v>
      </c>
      <c r="M65" s="195">
        <v>0.86299999999999999</v>
      </c>
      <c r="N65" s="194">
        <f t="shared" si="30"/>
        <v>2.2327044025157233E-3</v>
      </c>
      <c r="O65" s="194">
        <f t="shared" si="31"/>
        <v>2.2358208955223879E-3</v>
      </c>
      <c r="P65" s="194">
        <f t="shared" si="32"/>
        <v>2.2365591397849461E-3</v>
      </c>
      <c r="Q65" s="194">
        <f t="shared" si="33"/>
        <v>2.2376681614349777E-3</v>
      </c>
      <c r="R65" s="194">
        <f t="shared" si="34"/>
        <v>2.2346368715083801E-3</v>
      </c>
      <c r="S65" s="194">
        <f t="shared" si="35"/>
        <v>2.2395209580838324E-3</v>
      </c>
      <c r="T65" s="194">
        <f t="shared" si="36"/>
        <v>2.2344827586206896E-3</v>
      </c>
      <c r="U65" s="194">
        <f t="shared" si="37"/>
        <v>2.232142857142857E-3</v>
      </c>
      <c r="V65" s="194">
        <f t="shared" si="38"/>
        <v>2.2420634920634918E-3</v>
      </c>
      <c r="W65" s="194">
        <f t="shared" si="39"/>
        <v>2.238202247191011E-3</v>
      </c>
      <c r="X65" s="194">
        <f t="shared" si="40"/>
        <v>2.2357512953367874E-3</v>
      </c>
      <c r="Y65" s="271">
        <f t="shared" si="41"/>
        <v>2.2363230072004626E-3</v>
      </c>
    </row>
    <row r="66" spans="1:26" x14ac:dyDescent="0.25">
      <c r="A66" s="279" t="s">
        <v>564</v>
      </c>
      <c r="B66" s="279"/>
      <c r="C66" s="278">
        <v>1.4399999999999999E-5</v>
      </c>
      <c r="D66" s="195">
        <v>3.04E-5</v>
      </c>
      <c r="E66" s="195">
        <v>2.5299999999999998E-5</v>
      </c>
      <c r="F66" s="195">
        <v>2.02E-5</v>
      </c>
      <c r="G66" s="195">
        <v>1.6200000000000001E-5</v>
      </c>
      <c r="H66" s="195">
        <v>1.52E-5</v>
      </c>
      <c r="I66" s="195">
        <v>1.31E-5</v>
      </c>
      <c r="J66" s="195">
        <v>1.01E-5</v>
      </c>
      <c r="K66" s="195">
        <v>4.57E-5</v>
      </c>
      <c r="L66" s="195">
        <v>4.0399999999999999E-5</v>
      </c>
      <c r="M66" s="195">
        <v>3.4999999999999997E-5</v>
      </c>
      <c r="N66" s="194">
        <f t="shared" si="30"/>
        <v>9.0566037735849054E-8</v>
      </c>
      <c r="O66" s="194">
        <f t="shared" si="31"/>
        <v>9.0746268656716413E-8</v>
      </c>
      <c r="P66" s="194">
        <f t="shared" si="32"/>
        <v>9.0681003584229382E-8</v>
      </c>
      <c r="Q66" s="194">
        <f t="shared" si="33"/>
        <v>9.0582959641255605E-8</v>
      </c>
      <c r="R66" s="194">
        <f t="shared" si="34"/>
        <v>9.0502793296089396E-8</v>
      </c>
      <c r="S66" s="194">
        <f t="shared" si="35"/>
        <v>9.1017964071856283E-8</v>
      </c>
      <c r="T66" s="194">
        <f t="shared" si="36"/>
        <v>9.03448275862069E-8</v>
      </c>
      <c r="U66" s="194">
        <f t="shared" si="37"/>
        <v>9.0178571428571429E-8</v>
      </c>
      <c r="V66" s="194">
        <f t="shared" si="38"/>
        <v>9.0674603174603175E-8</v>
      </c>
      <c r="W66" s="194">
        <f t="shared" si="39"/>
        <v>9.0786516853932582E-8</v>
      </c>
      <c r="X66" s="194">
        <f t="shared" si="40"/>
        <v>9.0673575129533667E-8</v>
      </c>
      <c r="Y66" s="193">
        <f t="shared" si="41"/>
        <v>9.0614101923531274E-8</v>
      </c>
    </row>
    <row r="67" spans="1:26" x14ac:dyDescent="0.25">
      <c r="A67" s="279" t="s">
        <v>563</v>
      </c>
      <c r="B67" s="279"/>
      <c r="C67" s="278">
        <v>0.10100000000000001</v>
      </c>
      <c r="D67" s="195">
        <v>0.21299999999999999</v>
      </c>
      <c r="E67" s="195">
        <v>0.17799999999999999</v>
      </c>
      <c r="F67" s="195">
        <v>0.14199999999999999</v>
      </c>
      <c r="G67" s="195">
        <v>0.114</v>
      </c>
      <c r="H67" s="195">
        <v>0.107</v>
      </c>
      <c r="I67" s="195">
        <v>9.2200000000000004E-2</v>
      </c>
      <c r="J67" s="195">
        <v>7.0999999999999994E-2</v>
      </c>
      <c r="K67" s="195">
        <v>0.32100000000000001</v>
      </c>
      <c r="L67" s="195">
        <v>0.28299999999999997</v>
      </c>
      <c r="M67" s="195">
        <v>0.246</v>
      </c>
      <c r="N67" s="194">
        <f t="shared" si="30"/>
        <v>6.3522012578616353E-4</v>
      </c>
      <c r="O67" s="194">
        <f t="shared" si="31"/>
        <v>6.3582089552238806E-4</v>
      </c>
      <c r="P67" s="194">
        <f t="shared" si="32"/>
        <v>6.3799283154121857E-4</v>
      </c>
      <c r="Q67" s="194">
        <f t="shared" si="33"/>
        <v>6.3677130044843041E-4</v>
      </c>
      <c r="R67" s="194">
        <f t="shared" si="34"/>
        <v>6.3687150837988833E-4</v>
      </c>
      <c r="S67" s="194">
        <f t="shared" si="35"/>
        <v>6.4071856287425152E-4</v>
      </c>
      <c r="T67" s="194">
        <f t="shared" si="36"/>
        <v>6.3586206896551728E-4</v>
      </c>
      <c r="U67" s="194">
        <f t="shared" si="37"/>
        <v>6.3392857142857142E-4</v>
      </c>
      <c r="V67" s="194">
        <f t="shared" si="38"/>
        <v>6.3690476190476192E-4</v>
      </c>
      <c r="W67" s="194">
        <f t="shared" si="39"/>
        <v>6.3595505617977525E-4</v>
      </c>
      <c r="X67" s="194">
        <f t="shared" si="40"/>
        <v>6.3730569948186524E-4</v>
      </c>
      <c r="Y67" s="193">
        <f t="shared" si="41"/>
        <v>6.3666830750116652E-4</v>
      </c>
    </row>
    <row r="68" spans="1:26" x14ac:dyDescent="0.25">
      <c r="A68" s="279" t="s">
        <v>562</v>
      </c>
      <c r="B68" s="279" t="s">
        <v>494</v>
      </c>
      <c r="C68" s="278">
        <v>0.44</v>
      </c>
      <c r="D68" s="195">
        <v>0.92600000000000005</v>
      </c>
      <c r="E68" s="195">
        <v>0.77200000000000002</v>
      </c>
      <c r="F68" s="195">
        <v>0.61799999999999999</v>
      </c>
      <c r="G68" s="195">
        <v>0.49399999999999999</v>
      </c>
      <c r="H68" s="195">
        <v>0.46300000000000002</v>
      </c>
      <c r="I68" s="195">
        <v>0.40100000000000002</v>
      </c>
      <c r="J68" s="195">
        <v>0.309</v>
      </c>
      <c r="K68" s="195">
        <v>1.4</v>
      </c>
      <c r="L68" s="195">
        <v>1.23</v>
      </c>
      <c r="M68" s="195">
        <v>1.07</v>
      </c>
      <c r="N68" s="194">
        <f t="shared" si="30"/>
        <v>2.7672955974842768E-3</v>
      </c>
      <c r="O68" s="194">
        <f t="shared" si="31"/>
        <v>2.7641791044776122E-3</v>
      </c>
      <c r="P68" s="194">
        <f t="shared" si="32"/>
        <v>2.7670250896057349E-3</v>
      </c>
      <c r="Q68" s="194">
        <f t="shared" si="33"/>
        <v>2.7713004484304932E-3</v>
      </c>
      <c r="R68" s="194">
        <f t="shared" si="34"/>
        <v>2.759776536312849E-3</v>
      </c>
      <c r="S68" s="194">
        <f t="shared" si="35"/>
        <v>2.7724550898203595E-3</v>
      </c>
      <c r="T68" s="194">
        <f t="shared" si="36"/>
        <v>2.7655172413793105E-3</v>
      </c>
      <c r="U68" s="194">
        <f t="shared" si="37"/>
        <v>2.7589285714285715E-3</v>
      </c>
      <c r="V68" s="194">
        <f t="shared" si="38"/>
        <v>2.7777777777777775E-3</v>
      </c>
      <c r="W68" s="194">
        <f t="shared" si="39"/>
        <v>2.7640449438202249E-3</v>
      </c>
      <c r="X68" s="194">
        <f t="shared" si="40"/>
        <v>2.7720207253886012E-3</v>
      </c>
      <c r="Y68" s="271">
        <f t="shared" si="41"/>
        <v>2.7673019205387102E-3</v>
      </c>
    </row>
    <row r="69" spans="1:26" x14ac:dyDescent="0.25">
      <c r="A69" s="279" t="s">
        <v>561</v>
      </c>
      <c r="B69" s="279" t="s">
        <v>495</v>
      </c>
      <c r="C69" s="278">
        <v>0.20499999999999999</v>
      </c>
      <c r="D69" s="195">
        <v>0.432</v>
      </c>
      <c r="E69" s="195">
        <v>0.36</v>
      </c>
      <c r="F69" s="195">
        <v>0.28799999999999998</v>
      </c>
      <c r="G69" s="195">
        <v>0.23100000000000001</v>
      </c>
      <c r="H69" s="195">
        <v>0.216</v>
      </c>
      <c r="I69" s="195">
        <v>0.187</v>
      </c>
      <c r="J69" s="195">
        <v>0.14399999999999999</v>
      </c>
      <c r="K69" s="195">
        <v>0.65200000000000002</v>
      </c>
      <c r="L69" s="195">
        <v>0.57499999999999996</v>
      </c>
      <c r="M69" s="195">
        <v>0.498</v>
      </c>
      <c r="N69" s="194">
        <f t="shared" si="30"/>
        <v>1.2893081761006289E-3</v>
      </c>
      <c r="O69" s="194">
        <f t="shared" si="31"/>
        <v>1.2895522388059702E-3</v>
      </c>
      <c r="P69" s="194">
        <f t="shared" si="32"/>
        <v>1.2903225806451613E-3</v>
      </c>
      <c r="Q69" s="194">
        <f t="shared" si="33"/>
        <v>1.2914798206278026E-3</v>
      </c>
      <c r="R69" s="194">
        <f t="shared" si="34"/>
        <v>1.2905027932960894E-3</v>
      </c>
      <c r="S69" s="194">
        <f t="shared" si="35"/>
        <v>1.2934131736526946E-3</v>
      </c>
      <c r="T69" s="194">
        <f t="shared" si="36"/>
        <v>1.2896551724137931E-3</v>
      </c>
      <c r="U69" s="194">
        <f t="shared" si="37"/>
        <v>1.2857142857142856E-3</v>
      </c>
      <c r="V69" s="194">
        <f t="shared" si="38"/>
        <v>1.2936507936507937E-3</v>
      </c>
      <c r="W69" s="194">
        <f t="shared" si="39"/>
        <v>1.2921348314606741E-3</v>
      </c>
      <c r="X69" s="194">
        <f t="shared" si="40"/>
        <v>1.2901554404145077E-3</v>
      </c>
      <c r="Y69" s="271">
        <f t="shared" si="41"/>
        <v>1.2905353915256728E-3</v>
      </c>
    </row>
    <row r="70" spans="1:26" x14ac:dyDescent="0.25">
      <c r="A70" s="279" t="s">
        <v>560</v>
      </c>
      <c r="B70" s="279" t="s">
        <v>496</v>
      </c>
      <c r="C70" s="278">
        <v>7.4799999999999997E-3</v>
      </c>
      <c r="D70" s="195">
        <v>1.5800000000000002E-2</v>
      </c>
      <c r="E70" s="195">
        <v>1.3100000000000001E-2</v>
      </c>
      <c r="F70" s="195">
        <v>1.0500000000000001E-2</v>
      </c>
      <c r="G70" s="195">
        <v>8.4200000000000004E-3</v>
      </c>
      <c r="H70" s="195">
        <v>7.8899999999999994E-3</v>
      </c>
      <c r="I70" s="195">
        <v>6.8199999999999997E-3</v>
      </c>
      <c r="J70" s="195">
        <v>5.2599999999999999E-3</v>
      </c>
      <c r="K70" s="195">
        <v>2.3800000000000002E-2</v>
      </c>
      <c r="L70" s="195">
        <v>2.1000000000000001E-2</v>
      </c>
      <c r="M70" s="195">
        <v>1.8200000000000001E-2</v>
      </c>
      <c r="N70" s="194">
        <f t="shared" si="30"/>
        <v>4.70440251572327E-5</v>
      </c>
      <c r="O70" s="194">
        <f t="shared" si="31"/>
        <v>4.7164179104477618E-5</v>
      </c>
      <c r="P70" s="194">
        <f t="shared" si="32"/>
        <v>4.6953405017921147E-5</v>
      </c>
      <c r="Q70" s="194">
        <f t="shared" si="33"/>
        <v>4.7085201793721978E-5</v>
      </c>
      <c r="R70" s="194">
        <f t="shared" si="34"/>
        <v>4.7039106145251397E-5</v>
      </c>
      <c r="S70" s="194">
        <f t="shared" si="35"/>
        <v>4.7245508982035927E-5</v>
      </c>
      <c r="T70" s="194">
        <f t="shared" si="36"/>
        <v>4.7034482758620687E-5</v>
      </c>
      <c r="U70" s="194">
        <f t="shared" si="37"/>
        <v>4.6964285714285713E-5</v>
      </c>
      <c r="V70" s="194">
        <f t="shared" si="38"/>
        <v>4.7222222222222228E-5</v>
      </c>
      <c r="W70" s="194">
        <f t="shared" si="39"/>
        <v>4.719101123595506E-5</v>
      </c>
      <c r="X70" s="194">
        <f t="shared" si="40"/>
        <v>4.7150259067357513E-5</v>
      </c>
      <c r="Y70" s="271">
        <f>AVERAGE(N70:X70)-Y64</f>
        <v>9.8309202647061604E-6</v>
      </c>
    </row>
    <row r="71" spans="1:26" x14ac:dyDescent="0.25">
      <c r="A71" s="279" t="s">
        <v>559</v>
      </c>
      <c r="B71" s="279"/>
      <c r="C71" s="280"/>
      <c r="D71" s="195"/>
      <c r="E71" s="195"/>
      <c r="F71" s="195"/>
      <c r="G71" s="195"/>
      <c r="H71" s="195"/>
      <c r="I71" s="195"/>
      <c r="J71" s="195"/>
      <c r="K71" s="196"/>
      <c r="L71" s="196"/>
      <c r="M71" s="196"/>
      <c r="N71" s="194"/>
      <c r="O71" s="194"/>
      <c r="P71" s="194"/>
      <c r="Q71" s="194"/>
      <c r="R71" s="194"/>
      <c r="S71" s="194"/>
      <c r="T71" s="194"/>
      <c r="U71" s="194"/>
      <c r="V71" s="194"/>
      <c r="W71" s="194"/>
      <c r="X71" s="194"/>
      <c r="Y71" s="193"/>
    </row>
    <row r="72" spans="1:26" x14ac:dyDescent="0.25">
      <c r="A72" s="279" t="s">
        <v>558</v>
      </c>
      <c r="B72" s="279" t="s">
        <v>497</v>
      </c>
      <c r="C72" s="278">
        <v>6.15</v>
      </c>
      <c r="D72" s="195">
        <v>13</v>
      </c>
      <c r="E72" s="195">
        <v>10.8</v>
      </c>
      <c r="F72" s="195">
        <v>8.64</v>
      </c>
      <c r="G72" s="195">
        <v>6.92</v>
      </c>
      <c r="H72" s="195">
        <v>6.48</v>
      </c>
      <c r="I72" s="195">
        <v>5.61</v>
      </c>
      <c r="J72" s="195">
        <v>4.32</v>
      </c>
      <c r="K72" s="195">
        <v>19.5</v>
      </c>
      <c r="L72" s="195">
        <v>17.2</v>
      </c>
      <c r="M72" s="195">
        <v>14.9</v>
      </c>
      <c r="N72" s="194">
        <f t="shared" ref="N72:X72" si="42">C72/C$3</f>
        <v>3.8679245283018873E-2</v>
      </c>
      <c r="O72" s="194">
        <f t="shared" si="42"/>
        <v>3.880597014925373E-2</v>
      </c>
      <c r="P72" s="194">
        <f t="shared" si="42"/>
        <v>3.870967741935484E-2</v>
      </c>
      <c r="Q72" s="194">
        <f t="shared" si="42"/>
        <v>3.8744394618834083E-2</v>
      </c>
      <c r="R72" s="194">
        <f t="shared" si="42"/>
        <v>3.8659217877094969E-2</v>
      </c>
      <c r="S72" s="194">
        <f t="shared" si="42"/>
        <v>3.8802395209580842E-2</v>
      </c>
      <c r="T72" s="194">
        <f t="shared" si="42"/>
        <v>3.8689655172413795E-2</v>
      </c>
      <c r="U72" s="194">
        <f t="shared" si="42"/>
        <v>3.8571428571428576E-2</v>
      </c>
      <c r="V72" s="194">
        <f t="shared" si="42"/>
        <v>3.8690476190476192E-2</v>
      </c>
      <c r="W72" s="194">
        <f t="shared" si="42"/>
        <v>3.8651685393258424E-2</v>
      </c>
      <c r="X72" s="194">
        <f t="shared" si="42"/>
        <v>3.8601036269430053E-2</v>
      </c>
      <c r="Y72" s="271">
        <f>AVERAGE(N72:X72)</f>
        <v>3.8691380195831314E-2</v>
      </c>
      <c r="Z72" t="s">
        <v>557</v>
      </c>
    </row>
    <row r="73" spans="1:26" x14ac:dyDescent="0.25">
      <c r="Z73" t="s">
        <v>556</v>
      </c>
    </row>
  </sheetData>
  <mergeCells count="2">
    <mergeCell ref="C1:M1"/>
    <mergeCell ref="N1:X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BE69"/>
  <sheetViews>
    <sheetView workbookViewId="0">
      <pane xSplit="1" topLeftCell="B1" activePane="topRight" state="frozen"/>
      <selection pane="topRight" activeCell="D21" sqref="D21"/>
    </sheetView>
  </sheetViews>
  <sheetFormatPr defaultColWidth="8" defaultRowHeight="15" x14ac:dyDescent="0.25"/>
  <cols>
    <col min="1" max="2" width="33.85546875" style="197" customWidth="1"/>
    <col min="3" max="24" width="8.140625" style="197" customWidth="1"/>
    <col min="25" max="25" width="9.140625" style="197" customWidth="1"/>
    <col min="26" max="26" width="1.28515625" style="347" customWidth="1"/>
    <col min="27" max="27" width="8.5703125" style="197" bestFit="1" customWidth="1"/>
    <col min="28" max="48" width="8.140625" style="197" customWidth="1"/>
    <col min="49" max="57" width="10" style="197" customWidth="1"/>
    <col min="58" max="16384" width="8" style="197"/>
  </cols>
  <sheetData>
    <row r="2" spans="1:57" ht="15" customHeight="1" x14ac:dyDescent="0.25">
      <c r="C2" s="483" t="s">
        <v>840</v>
      </c>
      <c r="D2" s="483"/>
      <c r="E2" s="483"/>
      <c r="F2" s="483"/>
      <c r="G2" s="483"/>
      <c r="H2" s="483"/>
      <c r="I2" s="483"/>
      <c r="J2" s="483"/>
      <c r="K2" s="483"/>
      <c r="L2" s="483"/>
      <c r="M2" s="483"/>
      <c r="N2" s="483" t="s">
        <v>841</v>
      </c>
      <c r="O2" s="483"/>
      <c r="P2" s="483"/>
      <c r="Q2" s="483"/>
      <c r="R2" s="483"/>
      <c r="S2" s="483"/>
      <c r="T2" s="483"/>
      <c r="U2" s="483"/>
      <c r="V2" s="483"/>
      <c r="W2" s="483"/>
      <c r="X2" s="483"/>
      <c r="AA2" s="483" t="s">
        <v>840</v>
      </c>
      <c r="AB2" s="483"/>
      <c r="AC2" s="483"/>
      <c r="AD2" s="483"/>
      <c r="AE2" s="483"/>
      <c r="AF2" s="483"/>
      <c r="AG2" s="483"/>
      <c r="AH2" s="483"/>
      <c r="AI2" s="483"/>
      <c r="AJ2" s="483"/>
      <c r="AK2" s="483"/>
      <c r="AL2" s="483" t="s">
        <v>841</v>
      </c>
      <c r="AM2" s="483"/>
      <c r="AN2" s="483"/>
      <c r="AO2" s="483"/>
      <c r="AP2" s="483"/>
      <c r="AQ2" s="483"/>
      <c r="AR2" s="483"/>
      <c r="AS2" s="483"/>
      <c r="AT2" s="483"/>
      <c r="AU2" s="483"/>
      <c r="AV2" s="483"/>
    </row>
    <row r="3" spans="1:57" ht="27" customHeight="1" x14ac:dyDescent="0.25">
      <c r="A3" s="344" t="s">
        <v>251</v>
      </c>
      <c r="C3" s="484" t="s">
        <v>645</v>
      </c>
      <c r="D3" s="485"/>
      <c r="E3" s="485"/>
      <c r="F3" s="485"/>
      <c r="G3" s="485"/>
      <c r="H3" s="485"/>
      <c r="I3" s="485"/>
      <c r="J3" s="485"/>
      <c r="K3" s="485"/>
      <c r="L3" s="485"/>
      <c r="M3" s="486"/>
      <c r="N3" s="484" t="s">
        <v>645</v>
      </c>
      <c r="O3" s="485"/>
      <c r="P3" s="485"/>
      <c r="Q3" s="485"/>
      <c r="R3" s="485"/>
      <c r="S3" s="485"/>
      <c r="T3" s="485"/>
      <c r="U3" s="485"/>
      <c r="V3" s="485"/>
      <c r="W3" s="485"/>
      <c r="X3" s="486"/>
      <c r="AA3" s="484" t="s">
        <v>646</v>
      </c>
      <c r="AB3" s="485"/>
      <c r="AC3" s="485"/>
      <c r="AD3" s="485"/>
      <c r="AE3" s="485"/>
      <c r="AF3" s="485"/>
      <c r="AG3" s="485"/>
      <c r="AH3" s="485"/>
      <c r="AI3" s="485"/>
      <c r="AJ3" s="485"/>
      <c r="AK3" s="486"/>
      <c r="AL3" s="320"/>
      <c r="AM3" s="320"/>
      <c r="AN3" s="320"/>
      <c r="AO3" s="320"/>
      <c r="AP3" s="320"/>
      <c r="AQ3" s="320"/>
      <c r="AR3" s="320"/>
      <c r="AS3" s="320"/>
      <c r="AT3" s="320"/>
      <c r="AU3" s="320"/>
      <c r="AV3" s="320"/>
    </row>
    <row r="4" spans="1:57" ht="29.25" customHeight="1" x14ac:dyDescent="0.25">
      <c r="A4" s="345" t="s">
        <v>985</v>
      </c>
      <c r="C4" s="197" t="s">
        <v>410</v>
      </c>
      <c r="D4" s="197" t="s">
        <v>403</v>
      </c>
      <c r="E4" s="197" t="s">
        <v>404</v>
      </c>
      <c r="F4" s="197" t="s">
        <v>405</v>
      </c>
      <c r="G4" s="197" t="s">
        <v>406</v>
      </c>
      <c r="H4" s="197" t="s">
        <v>407</v>
      </c>
      <c r="I4" s="197" t="s">
        <v>408</v>
      </c>
      <c r="J4" s="197" t="s">
        <v>409</v>
      </c>
      <c r="K4" s="288" t="s">
        <v>642</v>
      </c>
      <c r="L4" s="288" t="s">
        <v>643</v>
      </c>
      <c r="M4" s="288" t="s">
        <v>644</v>
      </c>
      <c r="N4" s="197" t="s">
        <v>410</v>
      </c>
      <c r="O4" s="197" t="s">
        <v>403</v>
      </c>
      <c r="P4" s="197" t="s">
        <v>404</v>
      </c>
      <c r="Q4" s="197" t="s">
        <v>405</v>
      </c>
      <c r="R4" s="197" t="s">
        <v>406</v>
      </c>
      <c r="S4" s="197" t="s">
        <v>407</v>
      </c>
      <c r="T4" s="197" t="s">
        <v>408</v>
      </c>
      <c r="U4" s="197" t="s">
        <v>409</v>
      </c>
      <c r="V4" s="288" t="s">
        <v>642</v>
      </c>
      <c r="W4" s="288" t="s">
        <v>643</v>
      </c>
      <c r="X4" s="288" t="s">
        <v>644</v>
      </c>
      <c r="Y4" s="290" t="s">
        <v>402</v>
      </c>
      <c r="Z4" s="354"/>
      <c r="AA4" s="197" t="s">
        <v>410</v>
      </c>
      <c r="AB4" s="197" t="s">
        <v>403</v>
      </c>
      <c r="AC4" s="197" t="s">
        <v>404</v>
      </c>
      <c r="AD4" s="197" t="s">
        <v>405</v>
      </c>
      <c r="AE4" s="197" t="s">
        <v>406</v>
      </c>
      <c r="AF4" s="197" t="s">
        <v>407</v>
      </c>
      <c r="AG4" s="197" t="s">
        <v>408</v>
      </c>
      <c r="AH4" s="197" t="s">
        <v>409</v>
      </c>
      <c r="AI4" s="288" t="s">
        <v>642</v>
      </c>
      <c r="AJ4" s="288" t="s">
        <v>643</v>
      </c>
      <c r="AK4" s="288" t="s">
        <v>644</v>
      </c>
      <c r="AL4" s="197" t="s">
        <v>410</v>
      </c>
      <c r="AM4" s="197" t="s">
        <v>403</v>
      </c>
      <c r="AN4" s="197" t="s">
        <v>404</v>
      </c>
      <c r="AO4" s="197" t="s">
        <v>405</v>
      </c>
      <c r="AP4" s="197" t="s">
        <v>406</v>
      </c>
      <c r="AQ4" s="197" t="s">
        <v>407</v>
      </c>
      <c r="AR4" s="197" t="s">
        <v>408</v>
      </c>
      <c r="AS4" s="197" t="s">
        <v>409</v>
      </c>
      <c r="AT4" s="288" t="s">
        <v>642</v>
      </c>
      <c r="AU4" s="288" t="s">
        <v>643</v>
      </c>
      <c r="AV4" s="288" t="s">
        <v>644</v>
      </c>
      <c r="AW4" s="290" t="s">
        <v>402</v>
      </c>
    </row>
    <row r="5" spans="1:57" ht="15" customHeight="1" x14ac:dyDescent="0.25">
      <c r="A5" s="279" t="s">
        <v>629</v>
      </c>
      <c r="B5" s="279"/>
      <c r="C5" s="280"/>
      <c r="D5" s="279"/>
      <c r="E5" s="279"/>
      <c r="F5" s="279"/>
      <c r="G5" s="279"/>
      <c r="H5" s="279"/>
      <c r="I5" s="279"/>
      <c r="J5" s="279"/>
      <c r="K5" s="279"/>
      <c r="L5" s="279"/>
      <c r="M5" s="279"/>
      <c r="N5" s="195">
        <v>3</v>
      </c>
      <c r="O5" s="195"/>
      <c r="P5" s="195"/>
      <c r="Q5" s="195"/>
      <c r="R5" s="195"/>
      <c r="S5" s="195"/>
      <c r="T5" s="195"/>
      <c r="U5" s="195">
        <v>2</v>
      </c>
      <c r="V5" s="195"/>
      <c r="W5" s="195"/>
      <c r="X5" s="195">
        <v>1</v>
      </c>
      <c r="AA5" s="280"/>
      <c r="AB5" s="279"/>
      <c r="AC5" s="279"/>
      <c r="AD5" s="279"/>
      <c r="AE5" s="279"/>
      <c r="AF5" s="279"/>
      <c r="AG5" s="279"/>
      <c r="AH5" s="279"/>
      <c r="AI5" s="279"/>
      <c r="AJ5" s="279"/>
      <c r="AK5" s="279"/>
      <c r="AL5" s="280">
        <v>3</v>
      </c>
      <c r="AM5" s="279"/>
      <c r="AN5" s="279"/>
      <c r="AO5" s="279"/>
      <c r="AP5" s="279"/>
      <c r="AQ5" s="279"/>
      <c r="AR5" s="279"/>
      <c r="AS5" s="279">
        <v>2</v>
      </c>
      <c r="AT5" s="279"/>
      <c r="AU5" s="279"/>
      <c r="AV5" s="279">
        <v>1</v>
      </c>
    </row>
    <row r="6" spans="1:57" ht="15" customHeight="1" x14ac:dyDescent="0.25">
      <c r="A6" s="279" t="s">
        <v>647</v>
      </c>
      <c r="B6" s="279"/>
      <c r="C6" s="278">
        <v>350</v>
      </c>
      <c r="D6" s="195">
        <v>878</v>
      </c>
      <c r="E6" s="195">
        <v>878</v>
      </c>
      <c r="F6" s="195">
        <v>834</v>
      </c>
      <c r="G6" s="195">
        <v>834</v>
      </c>
      <c r="H6" s="195">
        <v>834</v>
      </c>
      <c r="I6" s="195">
        <v>834</v>
      </c>
      <c r="J6" s="195">
        <v>834</v>
      </c>
      <c r="K6" s="195">
        <v>777</v>
      </c>
      <c r="L6" s="195">
        <v>823</v>
      </c>
      <c r="M6" s="195">
        <v>790</v>
      </c>
      <c r="N6" s="195"/>
      <c r="O6" s="195"/>
      <c r="P6" s="195"/>
      <c r="Q6" s="195"/>
      <c r="R6" s="195"/>
      <c r="S6" s="195"/>
      <c r="T6" s="195"/>
      <c r="U6" s="195"/>
      <c r="V6" s="195"/>
      <c r="W6" s="195"/>
      <c r="X6" s="195"/>
      <c r="Y6" s="194"/>
      <c r="Z6" s="325"/>
      <c r="AA6" s="285" t="s">
        <v>648</v>
      </c>
      <c r="AB6" s="289" t="s">
        <v>680</v>
      </c>
      <c r="AC6" s="289" t="s">
        <v>680</v>
      </c>
      <c r="AD6" s="289" t="s">
        <v>680</v>
      </c>
      <c r="AE6" s="289" t="s">
        <v>680</v>
      </c>
      <c r="AF6" s="289" t="s">
        <v>680</v>
      </c>
      <c r="AG6" s="289" t="s">
        <v>680</v>
      </c>
      <c r="AH6" s="289" t="s">
        <v>680</v>
      </c>
      <c r="AI6" s="289" t="s">
        <v>680</v>
      </c>
      <c r="AJ6" s="289" t="s">
        <v>680</v>
      </c>
      <c r="AK6" s="289" t="s">
        <v>680</v>
      </c>
      <c r="AL6" s="195"/>
      <c r="AM6" s="195"/>
      <c r="AN6" s="195"/>
      <c r="AO6" s="195"/>
      <c r="AP6" s="195"/>
      <c r="AQ6" s="195"/>
      <c r="AR6" s="195"/>
      <c r="AS6" s="195"/>
      <c r="AT6" s="195"/>
      <c r="AU6" s="195"/>
      <c r="AV6" s="195"/>
      <c r="AW6" s="194"/>
    </row>
    <row r="7" spans="1:57" ht="15" customHeight="1" x14ac:dyDescent="0.25">
      <c r="A7" s="279" t="s">
        <v>649</v>
      </c>
      <c r="B7" s="279"/>
      <c r="C7" s="285" t="s">
        <v>648</v>
      </c>
      <c r="D7" s="289" t="s">
        <v>680</v>
      </c>
      <c r="E7" s="289" t="s">
        <v>680</v>
      </c>
      <c r="F7" s="289" t="s">
        <v>680</v>
      </c>
      <c r="G7" s="289" t="s">
        <v>680</v>
      </c>
      <c r="H7" s="289" t="s">
        <v>680</v>
      </c>
      <c r="I7" s="289" t="s">
        <v>680</v>
      </c>
      <c r="J7" s="289" t="s">
        <v>680</v>
      </c>
      <c r="K7" s="289" t="s">
        <v>680</v>
      </c>
      <c r="L7" s="289" t="s">
        <v>680</v>
      </c>
      <c r="M7" s="289" t="s">
        <v>680</v>
      </c>
      <c r="N7" s="195"/>
      <c r="O7" s="195"/>
      <c r="P7" s="195"/>
      <c r="Q7" s="195"/>
      <c r="R7" s="195"/>
      <c r="S7" s="195"/>
      <c r="T7" s="195"/>
      <c r="U7" s="195"/>
      <c r="V7" s="195"/>
      <c r="W7" s="195"/>
      <c r="X7" s="195"/>
      <c r="Y7" s="194"/>
      <c r="Z7" s="325"/>
      <c r="AA7" s="278">
        <v>123</v>
      </c>
      <c r="AB7" s="195">
        <v>309</v>
      </c>
      <c r="AC7" s="195">
        <v>309</v>
      </c>
      <c r="AD7" s="195">
        <v>293</v>
      </c>
      <c r="AE7" s="195">
        <v>293</v>
      </c>
      <c r="AF7" s="195">
        <v>293</v>
      </c>
      <c r="AG7" s="195">
        <v>293</v>
      </c>
      <c r="AH7" s="195">
        <v>293</v>
      </c>
      <c r="AI7" s="195">
        <v>273</v>
      </c>
      <c r="AJ7" s="195">
        <v>289</v>
      </c>
      <c r="AK7" s="195">
        <v>278</v>
      </c>
      <c r="AL7" s="195"/>
      <c r="AM7" s="195"/>
      <c r="AN7" s="195"/>
      <c r="AO7" s="195"/>
      <c r="AP7" s="195"/>
      <c r="AQ7" s="195"/>
      <c r="AR7" s="195"/>
      <c r="AS7" s="195"/>
      <c r="AT7" s="195"/>
      <c r="AU7" s="195"/>
      <c r="AV7" s="195"/>
      <c r="AW7" s="194"/>
      <c r="AX7" s="194"/>
      <c r="AY7" s="194"/>
      <c r="AZ7" s="194"/>
      <c r="BA7" s="194"/>
      <c r="BB7" s="194"/>
      <c r="BC7" s="194"/>
      <c r="BD7" s="194"/>
      <c r="BE7" s="194"/>
    </row>
    <row r="8" spans="1:57" ht="15" customHeight="1" x14ac:dyDescent="0.25">
      <c r="A8" s="293" t="s">
        <v>650</v>
      </c>
      <c r="B8" s="293"/>
      <c r="C8" s="294">
        <v>1080</v>
      </c>
      <c r="D8" s="295">
        <v>712</v>
      </c>
      <c r="E8" s="295">
        <v>771</v>
      </c>
      <c r="F8" s="295">
        <v>831</v>
      </c>
      <c r="G8" s="295">
        <v>831</v>
      </c>
      <c r="H8" s="295">
        <v>831</v>
      </c>
      <c r="I8" s="295">
        <v>831</v>
      </c>
      <c r="J8" s="295">
        <v>831</v>
      </c>
      <c r="K8" s="295">
        <v>555</v>
      </c>
      <c r="L8" s="295">
        <v>611</v>
      </c>
      <c r="M8" s="295">
        <v>742</v>
      </c>
      <c r="N8" s="195"/>
      <c r="O8" s="195"/>
      <c r="P8" s="195"/>
      <c r="Q8" s="195"/>
      <c r="R8" s="195"/>
      <c r="S8" s="195"/>
      <c r="T8" s="195"/>
      <c r="U8" s="195"/>
      <c r="V8" s="195"/>
      <c r="W8" s="195"/>
      <c r="X8" s="195"/>
      <c r="Y8" s="194"/>
      <c r="Z8" s="325"/>
      <c r="AA8" s="296" t="s">
        <v>648</v>
      </c>
      <c r="AB8" s="297" t="s">
        <v>680</v>
      </c>
      <c r="AC8" s="297" t="s">
        <v>680</v>
      </c>
      <c r="AD8" s="297" t="s">
        <v>680</v>
      </c>
      <c r="AE8" s="297" t="s">
        <v>680</v>
      </c>
      <c r="AF8" s="297" t="s">
        <v>680</v>
      </c>
      <c r="AG8" s="297" t="s">
        <v>680</v>
      </c>
      <c r="AH8" s="297" t="s">
        <v>680</v>
      </c>
      <c r="AI8" s="297" t="s">
        <v>680</v>
      </c>
      <c r="AJ8" s="297" t="s">
        <v>680</v>
      </c>
      <c r="AK8" s="297" t="s">
        <v>680</v>
      </c>
      <c r="AL8" s="195"/>
      <c r="AM8" s="195"/>
      <c r="AN8" s="195"/>
      <c r="AO8" s="195"/>
      <c r="AP8" s="195"/>
      <c r="AQ8" s="195"/>
      <c r="AR8" s="195"/>
      <c r="AS8" s="195"/>
      <c r="AT8" s="195"/>
      <c r="AU8" s="195"/>
      <c r="AV8" s="195"/>
      <c r="AW8" s="194"/>
      <c r="AX8" s="194"/>
      <c r="AY8" s="194"/>
      <c r="AZ8" s="194"/>
      <c r="BA8" s="194"/>
      <c r="BB8" s="194"/>
      <c r="BC8" s="194"/>
      <c r="BD8" s="194"/>
      <c r="BE8" s="194"/>
    </row>
    <row r="9" spans="1:57" ht="15" customHeight="1" x14ac:dyDescent="0.25">
      <c r="A9" s="299"/>
      <c r="B9" s="300"/>
      <c r="C9" s="300"/>
      <c r="D9" s="300"/>
      <c r="E9" s="300"/>
      <c r="F9" s="300"/>
      <c r="G9" s="300"/>
      <c r="H9" s="300"/>
      <c r="I9" s="300"/>
      <c r="J9" s="300"/>
      <c r="K9" s="300"/>
      <c r="L9" s="300"/>
      <c r="M9" s="300"/>
      <c r="N9" s="195"/>
      <c r="O9" s="195"/>
      <c r="P9" s="195"/>
      <c r="Q9" s="195"/>
      <c r="R9" s="195"/>
      <c r="S9" s="195"/>
      <c r="T9" s="195"/>
      <c r="U9" s="195"/>
      <c r="V9" s="195"/>
      <c r="W9" s="195"/>
      <c r="X9" s="195"/>
      <c r="Y9" s="194"/>
      <c r="Z9" s="325"/>
      <c r="AA9" s="302"/>
      <c r="AB9" s="303"/>
      <c r="AC9" s="303"/>
      <c r="AD9" s="303"/>
      <c r="AE9" s="303"/>
      <c r="AF9" s="303"/>
      <c r="AG9" s="303"/>
      <c r="AH9" s="303"/>
      <c r="AI9" s="303"/>
      <c r="AJ9" s="303"/>
      <c r="AK9" s="303"/>
      <c r="AL9" s="195"/>
      <c r="AM9" s="195"/>
      <c r="AN9" s="195"/>
      <c r="AO9" s="195"/>
      <c r="AP9" s="195"/>
      <c r="AQ9" s="195"/>
      <c r="AR9" s="195"/>
      <c r="AS9" s="195"/>
      <c r="AT9" s="195"/>
      <c r="AU9" s="195"/>
      <c r="AV9" s="195"/>
      <c r="AW9" s="194"/>
      <c r="AX9" s="194"/>
      <c r="AY9" s="194"/>
      <c r="AZ9" s="194"/>
      <c r="BA9" s="194"/>
      <c r="BB9" s="194"/>
      <c r="BC9" s="194"/>
      <c r="BD9" s="194"/>
      <c r="BE9" s="194"/>
    </row>
    <row r="10" spans="1:57" ht="15" customHeight="1" x14ac:dyDescent="0.25">
      <c r="A10" s="323" t="s">
        <v>689</v>
      </c>
      <c r="B10" s="323" t="s">
        <v>690</v>
      </c>
      <c r="C10" s="323">
        <f t="shared" ref="C10:M10" si="0">SUM(C6:C8)/SUM(C6:C8,AA6:AA8)</f>
        <v>0.92079845460399223</v>
      </c>
      <c r="D10" s="323">
        <f t="shared" si="0"/>
        <v>0.83728278041074244</v>
      </c>
      <c r="E10" s="323">
        <f t="shared" si="0"/>
        <v>0.84218590398365678</v>
      </c>
      <c r="F10" s="323">
        <f t="shared" si="0"/>
        <v>0.85035750766087848</v>
      </c>
      <c r="G10" s="323">
        <f t="shared" si="0"/>
        <v>0.85035750766087848</v>
      </c>
      <c r="H10" s="323">
        <f t="shared" si="0"/>
        <v>0.85035750766087848</v>
      </c>
      <c r="I10" s="323">
        <f t="shared" si="0"/>
        <v>0.85035750766087848</v>
      </c>
      <c r="J10" s="323">
        <f t="shared" si="0"/>
        <v>0.85035750766087848</v>
      </c>
      <c r="K10" s="323">
        <f t="shared" si="0"/>
        <v>0.82990654205607473</v>
      </c>
      <c r="L10" s="323">
        <f t="shared" si="0"/>
        <v>0.83226929773650604</v>
      </c>
      <c r="M10" s="323">
        <f t="shared" si="0"/>
        <v>0.8464088397790055</v>
      </c>
      <c r="N10" s="195">
        <f>C10</f>
        <v>0.92079845460399223</v>
      </c>
      <c r="O10" s="195"/>
      <c r="P10" s="195"/>
      <c r="Q10" s="195"/>
      <c r="R10" s="195"/>
      <c r="S10" s="195"/>
      <c r="T10" s="195"/>
      <c r="U10" s="195">
        <f>AVERAGE(D10:J10)</f>
        <v>0.84732231752839893</v>
      </c>
      <c r="V10" s="195"/>
      <c r="W10" s="195"/>
      <c r="X10" s="195">
        <f>AVERAGE(K10:M10)</f>
        <v>0.83619489319052887</v>
      </c>
      <c r="Y10" s="194"/>
      <c r="Z10" s="325"/>
      <c r="AL10" s="195"/>
      <c r="AM10" s="195"/>
      <c r="AN10" s="195"/>
      <c r="AO10" s="195"/>
      <c r="AP10" s="195"/>
      <c r="AQ10" s="195"/>
      <c r="AR10" s="195"/>
      <c r="AS10" s="195"/>
      <c r="AT10" s="195"/>
      <c r="AU10" s="195"/>
      <c r="AV10" s="195"/>
      <c r="AW10" s="194"/>
      <c r="AX10" s="194"/>
      <c r="AY10" s="194"/>
      <c r="AZ10" s="194"/>
      <c r="BA10" s="194"/>
      <c r="BB10" s="194"/>
      <c r="BC10" s="194"/>
      <c r="BD10" s="194"/>
      <c r="BE10" s="194"/>
    </row>
    <row r="11" spans="1:57" ht="15" customHeight="1" x14ac:dyDescent="0.25">
      <c r="A11" s="323" t="s">
        <v>691</v>
      </c>
      <c r="B11" s="323" t="s">
        <v>692</v>
      </c>
      <c r="C11" s="323"/>
      <c r="D11" s="323"/>
      <c r="E11" s="323"/>
      <c r="F11" s="323"/>
      <c r="G11" s="323"/>
      <c r="H11" s="323"/>
      <c r="I11" s="323"/>
      <c r="J11" s="323"/>
      <c r="K11" s="323"/>
      <c r="L11" s="323"/>
      <c r="M11" s="323"/>
      <c r="N11" s="195"/>
      <c r="O11" s="195"/>
      <c r="P11" s="195"/>
      <c r="Q11" s="195"/>
      <c r="R11" s="195"/>
      <c r="S11" s="195"/>
      <c r="T11" s="195"/>
      <c r="U11" s="195"/>
      <c r="V11" s="195"/>
      <c r="W11" s="195"/>
      <c r="X11" s="195"/>
      <c r="Y11" s="194"/>
      <c r="Z11" s="325"/>
      <c r="AA11" s="301">
        <f t="shared" ref="AA11:AK11" si="1">SUM(AA6:AA8)/SUM(AA6:AA8,C6:C8)</f>
        <v>7.9201545396007725E-2</v>
      </c>
      <c r="AB11" s="301">
        <f t="shared" si="1"/>
        <v>0.1627172195892575</v>
      </c>
      <c r="AC11" s="301">
        <f t="shared" si="1"/>
        <v>0.15781409601634322</v>
      </c>
      <c r="AD11" s="301">
        <f t="shared" si="1"/>
        <v>0.14964249233912155</v>
      </c>
      <c r="AE11" s="301">
        <f t="shared" si="1"/>
        <v>0.14964249233912155</v>
      </c>
      <c r="AF11" s="301">
        <f t="shared" si="1"/>
        <v>0.14964249233912155</v>
      </c>
      <c r="AG11" s="301">
        <f t="shared" si="1"/>
        <v>0.14964249233912155</v>
      </c>
      <c r="AH11" s="301">
        <f t="shared" si="1"/>
        <v>0.14964249233912155</v>
      </c>
      <c r="AI11" s="301">
        <f t="shared" si="1"/>
        <v>0.17009345794392525</v>
      </c>
      <c r="AJ11" s="301">
        <f t="shared" si="1"/>
        <v>0.1677307022634939</v>
      </c>
      <c r="AK11" s="301">
        <f t="shared" si="1"/>
        <v>0.15359116022099448</v>
      </c>
      <c r="AL11" s="195">
        <f>AA11</f>
        <v>7.9201545396007725E-2</v>
      </c>
      <c r="AM11" s="195"/>
      <c r="AN11" s="195"/>
      <c r="AO11" s="195"/>
      <c r="AP11" s="195"/>
      <c r="AQ11" s="195"/>
      <c r="AR11" s="195"/>
      <c r="AS11" s="195">
        <f>AVERAGE(AB11:AH11)</f>
        <v>0.15267768247160121</v>
      </c>
      <c r="AT11" s="195"/>
      <c r="AU11" s="195"/>
      <c r="AV11" s="195">
        <f>AVERAGE(AI11:AK11)</f>
        <v>0.16380510680947122</v>
      </c>
      <c r="AW11" s="194"/>
      <c r="AX11" s="194"/>
      <c r="AY11" s="194"/>
      <c r="AZ11" s="194"/>
      <c r="BA11" s="194"/>
      <c r="BB11" s="194"/>
      <c r="BC11" s="194"/>
      <c r="BD11" s="194"/>
      <c r="BE11" s="194"/>
    </row>
    <row r="12" spans="1:57" ht="15" customHeight="1" x14ac:dyDescent="0.25">
      <c r="A12" s="323"/>
      <c r="B12" s="323"/>
      <c r="C12" s="323"/>
      <c r="D12" s="323"/>
      <c r="E12" s="323"/>
      <c r="F12" s="323"/>
      <c r="G12" s="323"/>
      <c r="H12" s="323"/>
      <c r="I12" s="323"/>
      <c r="J12" s="323"/>
      <c r="K12" s="323"/>
      <c r="L12" s="323"/>
      <c r="M12" s="323"/>
      <c r="N12" s="195"/>
      <c r="O12" s="195"/>
      <c r="P12" s="195"/>
      <c r="Q12" s="195"/>
      <c r="R12" s="195"/>
      <c r="S12" s="195"/>
      <c r="T12" s="195"/>
      <c r="U12" s="195"/>
      <c r="V12" s="195"/>
      <c r="W12" s="195"/>
      <c r="X12" s="195"/>
      <c r="Y12" s="356"/>
      <c r="Z12" s="298"/>
      <c r="AA12" s="323"/>
      <c r="AB12" s="324"/>
      <c r="AC12" s="323"/>
      <c r="AD12" s="324"/>
      <c r="AE12" s="323"/>
      <c r="AF12" s="324"/>
      <c r="AG12" s="323"/>
      <c r="AH12" s="324"/>
      <c r="AI12" s="323"/>
      <c r="AJ12" s="324"/>
      <c r="AK12" s="323"/>
      <c r="AL12" s="195"/>
      <c r="AM12" s="195"/>
      <c r="AN12" s="195"/>
      <c r="AO12" s="195"/>
      <c r="AP12" s="195"/>
      <c r="AQ12" s="195"/>
      <c r="AR12" s="195"/>
      <c r="AS12" s="195"/>
      <c r="AT12" s="195"/>
      <c r="AU12" s="195"/>
      <c r="AV12" s="195"/>
      <c r="AW12" s="356"/>
      <c r="AX12" s="194"/>
      <c r="AY12" s="194"/>
      <c r="AZ12" s="194"/>
      <c r="BA12" s="194"/>
      <c r="BB12" s="194"/>
      <c r="BC12" s="194"/>
      <c r="BD12" s="194"/>
      <c r="BE12" s="194"/>
    </row>
    <row r="13" spans="1:57" ht="15" customHeight="1" x14ac:dyDescent="0.25">
      <c r="A13" s="279" t="s">
        <v>306</v>
      </c>
      <c r="B13" s="279"/>
      <c r="C13" s="280"/>
      <c r="D13" s="195"/>
      <c r="E13" s="195"/>
      <c r="F13" s="195"/>
      <c r="G13" s="195"/>
      <c r="H13" s="195"/>
      <c r="I13" s="195"/>
      <c r="J13" s="195"/>
      <c r="K13" s="196"/>
      <c r="L13" s="196"/>
      <c r="M13" s="196"/>
      <c r="N13" s="195"/>
      <c r="O13" s="195"/>
      <c r="P13" s="195"/>
      <c r="Q13" s="195"/>
      <c r="R13" s="195"/>
      <c r="S13" s="195"/>
      <c r="T13" s="195"/>
      <c r="U13" s="195"/>
      <c r="V13" s="195"/>
      <c r="W13" s="195"/>
      <c r="X13" s="195"/>
      <c r="AA13" s="280"/>
      <c r="AB13" s="289"/>
      <c r="AC13" s="289"/>
      <c r="AD13" s="289"/>
      <c r="AE13" s="289"/>
      <c r="AF13" s="289"/>
      <c r="AG13" s="289"/>
      <c r="AH13" s="289"/>
      <c r="AI13" s="196"/>
      <c r="AJ13" s="196"/>
      <c r="AK13" s="196"/>
      <c r="AL13" s="195"/>
      <c r="AM13" s="195"/>
      <c r="AN13" s="195"/>
      <c r="AO13" s="195"/>
      <c r="AP13" s="195"/>
      <c r="AQ13" s="195"/>
      <c r="AR13" s="195"/>
      <c r="AS13" s="195"/>
      <c r="AT13" s="195"/>
      <c r="AU13" s="195"/>
      <c r="AV13" s="195"/>
      <c r="AX13" s="194"/>
      <c r="AY13" s="194"/>
      <c r="AZ13" s="194"/>
      <c r="BA13" s="194"/>
      <c r="BB13" s="194"/>
      <c r="BC13" s="194"/>
      <c r="BD13" s="194"/>
      <c r="BE13" s="194"/>
    </row>
    <row r="14" spans="1:57" ht="15" customHeight="1" x14ac:dyDescent="0.25">
      <c r="A14" s="279" t="s">
        <v>597</v>
      </c>
      <c r="B14" s="279" t="s">
        <v>693</v>
      </c>
      <c r="C14" s="278">
        <v>3.2399999999999998E-2</v>
      </c>
      <c r="D14" s="195">
        <v>3.5999999999999997E-2</v>
      </c>
      <c r="E14" s="195">
        <v>3.7400000000000003E-2</v>
      </c>
      <c r="F14" s="195">
        <v>3.7699999999999997E-2</v>
      </c>
      <c r="G14" s="195">
        <v>3.7699999999999997E-2</v>
      </c>
      <c r="H14" s="195">
        <v>3.7699999999999997E-2</v>
      </c>
      <c r="I14" s="195">
        <v>3.7699999999999997E-2</v>
      </c>
      <c r="J14" s="195">
        <v>3.7699999999999997E-2</v>
      </c>
      <c r="K14" s="195">
        <v>3.0200000000000001E-2</v>
      </c>
      <c r="L14" s="195">
        <v>3.2500000000000001E-2</v>
      </c>
      <c r="M14" s="195">
        <v>3.4700000000000002E-2</v>
      </c>
      <c r="N14" s="195">
        <f>C14/SUM(C$6:C$8)</f>
        <v>2.2657342657342655E-5</v>
      </c>
      <c r="O14" s="195">
        <f t="shared" ref="O14:R14" si="2">D14/SUM(D$6:D$8)</f>
        <v>2.2641509433962261E-5</v>
      </c>
      <c r="P14" s="195">
        <f t="shared" si="2"/>
        <v>2.2680412371134022E-5</v>
      </c>
      <c r="Q14" s="195">
        <f t="shared" si="2"/>
        <v>2.2642642642642641E-5</v>
      </c>
      <c r="R14" s="195">
        <f t="shared" si="2"/>
        <v>2.2642642642642641E-5</v>
      </c>
      <c r="S14" s="195">
        <f t="shared" ref="S14" si="3">H14/SUM(H$6:H$8)</f>
        <v>2.2642642642642641E-5</v>
      </c>
      <c r="T14" s="195">
        <f t="shared" ref="T14" si="4">I14/SUM(I$6:I$8)</f>
        <v>2.2642642642642641E-5</v>
      </c>
      <c r="U14" s="195">
        <f t="shared" ref="U14" si="5">J14/SUM(J$6:J$8)</f>
        <v>2.2642642642642641E-5</v>
      </c>
      <c r="V14" s="195">
        <f t="shared" ref="V14" si="6">K14/SUM(K$6:K$8)</f>
        <v>2.2672672672672673E-5</v>
      </c>
      <c r="W14" s="195">
        <f t="shared" ref="W14" si="7">L14/SUM(L$6:L$8)</f>
        <v>2.2663877266387727E-5</v>
      </c>
      <c r="X14" s="195">
        <f t="shared" ref="X14" si="8">M14/SUM(M$6:M$8)</f>
        <v>2.2650130548302872E-5</v>
      </c>
      <c r="Y14" s="291">
        <f>AVERAGE(N14:X14)*Conversions!$D$5*Conversions!$D$9*Conversions!$D$6</f>
        <v>1.6292443464965717E-5</v>
      </c>
      <c r="Z14" s="325"/>
      <c r="AA14" s="278">
        <v>4.8199999999999996E-3</v>
      </c>
      <c r="AB14" s="195">
        <v>1.21E-2</v>
      </c>
      <c r="AC14" s="195">
        <v>1.21E-2</v>
      </c>
      <c r="AD14" s="195">
        <v>1.15E-2</v>
      </c>
      <c r="AE14" s="195">
        <v>1.15E-2</v>
      </c>
      <c r="AF14" s="195">
        <v>1.15E-2</v>
      </c>
      <c r="AG14" s="195">
        <v>1.15E-2</v>
      </c>
      <c r="AH14" s="195">
        <v>1.15E-2</v>
      </c>
      <c r="AI14" s="195">
        <v>1.0699999999999999E-2</v>
      </c>
      <c r="AJ14" s="195">
        <v>1.1299999999999999E-2</v>
      </c>
      <c r="AK14" s="195">
        <v>1.09E-2</v>
      </c>
      <c r="AL14" s="195">
        <f>AA14/SUM(AA$6:AA$8)</f>
        <v>3.9186991869918698E-5</v>
      </c>
      <c r="AM14" s="195">
        <f t="shared" ref="AM14:AV14" si="9">AB14/SUM(AB$6:AB$8)</f>
        <v>3.9158576051779933E-5</v>
      </c>
      <c r="AN14" s="195">
        <f t="shared" si="9"/>
        <v>3.9158576051779933E-5</v>
      </c>
      <c r="AO14" s="195">
        <f t="shared" si="9"/>
        <v>3.924914675767918E-5</v>
      </c>
      <c r="AP14" s="195">
        <f t="shared" si="9"/>
        <v>3.924914675767918E-5</v>
      </c>
      <c r="AQ14" s="195">
        <f t="shared" si="9"/>
        <v>3.924914675767918E-5</v>
      </c>
      <c r="AR14" s="195">
        <f t="shared" si="9"/>
        <v>3.924914675767918E-5</v>
      </c>
      <c r="AS14" s="195">
        <f t="shared" si="9"/>
        <v>3.924914675767918E-5</v>
      </c>
      <c r="AT14" s="195">
        <f t="shared" si="9"/>
        <v>3.9194139194139191E-5</v>
      </c>
      <c r="AU14" s="195">
        <f t="shared" si="9"/>
        <v>3.910034602076124E-5</v>
      </c>
      <c r="AV14" s="195">
        <f t="shared" si="9"/>
        <v>3.9208633093525183E-5</v>
      </c>
      <c r="AW14" s="291">
        <f>AVERAGE(AL14:AV14)*Conversions!$D$5*Conversions!$D$9*Conversions!$D$6</f>
        <v>2.8197242134415834E-5</v>
      </c>
      <c r="AX14" s="194"/>
      <c r="AY14" s="194"/>
      <c r="AZ14" s="194"/>
      <c r="BA14" s="194"/>
      <c r="BB14" s="194"/>
      <c r="BC14" s="194"/>
      <c r="BD14" s="194"/>
      <c r="BE14" s="194"/>
    </row>
    <row r="15" spans="1:57" ht="15" customHeight="1" x14ac:dyDescent="0.25">
      <c r="A15" s="279" t="s">
        <v>595</v>
      </c>
      <c r="B15" s="279" t="s">
        <v>694</v>
      </c>
      <c r="C15" s="278">
        <v>0.33600000000000002</v>
      </c>
      <c r="D15" s="195">
        <v>0.373</v>
      </c>
      <c r="E15" s="195">
        <v>0.38700000000000001</v>
      </c>
      <c r="F15" s="195">
        <v>0.39</v>
      </c>
      <c r="G15" s="195">
        <v>0.39</v>
      </c>
      <c r="H15" s="195">
        <v>0.39</v>
      </c>
      <c r="I15" s="195">
        <v>0.39</v>
      </c>
      <c r="J15" s="195">
        <v>0.39</v>
      </c>
      <c r="K15" s="195">
        <v>0.312</v>
      </c>
      <c r="L15" s="195">
        <v>0.33600000000000002</v>
      </c>
      <c r="M15" s="195">
        <v>0.35899999999999999</v>
      </c>
      <c r="N15" s="195">
        <f>C15/SUM(C$6:C$8)</f>
        <v>2.3496503496503497E-4</v>
      </c>
      <c r="O15" s="195">
        <f t="shared" ref="O15" si="10">D15/SUM(D$6:D$8)</f>
        <v>2.3459119496855346E-4</v>
      </c>
      <c r="P15" s="195">
        <f t="shared" ref="P15" si="11">E15/SUM(E$6:E$8)</f>
        <v>2.3468768950879321E-4</v>
      </c>
      <c r="Q15" s="195">
        <f t="shared" ref="Q15" si="12">F15/SUM(F$6:F$8)</f>
        <v>2.3423423423423424E-4</v>
      </c>
      <c r="R15" s="195">
        <f t="shared" ref="R15" si="13">G15/SUM(G$6:G$8)</f>
        <v>2.3423423423423424E-4</v>
      </c>
      <c r="S15" s="195">
        <f t="shared" ref="S15" si="14">H15/SUM(H$6:H$8)</f>
        <v>2.3423423423423424E-4</v>
      </c>
      <c r="T15" s="195">
        <f t="shared" ref="T15" si="15">I15/SUM(I$6:I$8)</f>
        <v>2.3423423423423424E-4</v>
      </c>
      <c r="U15" s="195">
        <f t="shared" ref="U15" si="16">J15/SUM(J$6:J$8)</f>
        <v>2.3423423423423424E-4</v>
      </c>
      <c r="V15" s="195">
        <f t="shared" ref="V15" si="17">K15/SUM(K$6:K$8)</f>
        <v>2.3423423423423424E-4</v>
      </c>
      <c r="W15" s="195">
        <f t="shared" ref="W15" si="18">L15/SUM(L$6:L$8)</f>
        <v>2.3430962343096235E-4</v>
      </c>
      <c r="X15" s="195">
        <f t="shared" ref="X15" si="19">M15/SUM(M$6:M$8)</f>
        <v>2.3433420365535248E-4</v>
      </c>
      <c r="Y15" s="291">
        <f>AVERAGE(N15:X15)*Conversions!$D$5*Conversions!$D$11*Conversions!$D$6</f>
        <v>2.040610001648494E-4</v>
      </c>
      <c r="Z15" s="325"/>
      <c r="AA15" s="278">
        <v>4.7800000000000002E-2</v>
      </c>
      <c r="AB15" s="195">
        <v>0.12</v>
      </c>
      <c r="AC15" s="195">
        <v>0.12</v>
      </c>
      <c r="AD15" s="195">
        <v>0.114</v>
      </c>
      <c r="AE15" s="195">
        <v>0.114</v>
      </c>
      <c r="AF15" s="195">
        <v>0.114</v>
      </c>
      <c r="AG15" s="195">
        <v>0.114</v>
      </c>
      <c r="AH15" s="195">
        <v>0.114</v>
      </c>
      <c r="AI15" s="195">
        <v>0.106</v>
      </c>
      <c r="AJ15" s="195">
        <v>0.112</v>
      </c>
      <c r="AK15" s="195">
        <v>0.108</v>
      </c>
      <c r="AL15" s="195">
        <f t="shared" ref="AL15:AL65" si="20">AA15/SUM(AA$6:AA$8)</f>
        <v>3.886178861788618E-4</v>
      </c>
      <c r="AM15" s="195">
        <f t="shared" ref="AM15:AM65" si="21">AB15/SUM(AB$6:AB$8)</f>
        <v>3.8834951456310677E-4</v>
      </c>
      <c r="AN15" s="195">
        <f t="shared" ref="AN15:AN65" si="22">AC15/SUM(AC$6:AC$8)</f>
        <v>3.8834951456310677E-4</v>
      </c>
      <c r="AO15" s="195">
        <f t="shared" ref="AO15:AO65" si="23">AD15/SUM(AD$6:AD$8)</f>
        <v>3.8907849829351539E-4</v>
      </c>
      <c r="AP15" s="195">
        <f t="shared" ref="AP15:AP65" si="24">AE15/SUM(AE$6:AE$8)</f>
        <v>3.8907849829351539E-4</v>
      </c>
      <c r="AQ15" s="195">
        <f t="shared" ref="AQ15:AQ65" si="25">AF15/SUM(AF$6:AF$8)</f>
        <v>3.8907849829351539E-4</v>
      </c>
      <c r="AR15" s="195">
        <f t="shared" ref="AR15:AR65" si="26">AG15/SUM(AG$6:AG$8)</f>
        <v>3.8907849829351539E-4</v>
      </c>
      <c r="AS15" s="195">
        <f t="shared" ref="AS15:AS65" si="27">AH15/SUM(AH$6:AH$8)</f>
        <v>3.8907849829351539E-4</v>
      </c>
      <c r="AT15" s="195">
        <f t="shared" ref="AT15:AT65" si="28">AI15/SUM(AI$6:AI$8)</f>
        <v>3.8827838827838827E-4</v>
      </c>
      <c r="AU15" s="195">
        <f t="shared" ref="AU15:AU65" si="29">AJ15/SUM(AJ$6:AJ$8)</f>
        <v>3.8754325259515574E-4</v>
      </c>
      <c r="AV15" s="195">
        <f t="shared" ref="AV15:AV65" si="30">AK15/SUM(AK$6:AK$8)</f>
        <v>3.8848920863309349E-4</v>
      </c>
      <c r="AW15" s="291">
        <f>AVERAGE(AL15:AV15)*Conversions!$D$5*Conversions!$D$11*Conversions!$D$6</f>
        <v>3.3834977553539241E-4</v>
      </c>
      <c r="AX15" s="194"/>
      <c r="AY15" s="194"/>
      <c r="AZ15" s="194"/>
      <c r="BA15" s="194"/>
      <c r="BB15" s="194"/>
      <c r="BC15" s="194"/>
      <c r="BD15" s="194"/>
      <c r="BE15" s="194"/>
    </row>
    <row r="16" spans="1:57" ht="15" customHeight="1" x14ac:dyDescent="0.25">
      <c r="A16" s="279" t="s">
        <v>594</v>
      </c>
      <c r="B16" s="279" t="s">
        <v>695</v>
      </c>
      <c r="C16" s="278">
        <v>5.9599999999999999E-5</v>
      </c>
      <c r="D16" s="195">
        <v>6.6199999999999996E-5</v>
      </c>
      <c r="E16" s="195">
        <v>6.8700000000000003E-5</v>
      </c>
      <c r="F16" s="195">
        <v>6.9300000000000004E-5</v>
      </c>
      <c r="G16" s="195">
        <v>6.9300000000000004E-5</v>
      </c>
      <c r="H16" s="195">
        <v>6.9300000000000004E-5</v>
      </c>
      <c r="I16" s="195">
        <v>6.9300000000000004E-5</v>
      </c>
      <c r="J16" s="195">
        <v>6.9300000000000004E-5</v>
      </c>
      <c r="K16" s="195">
        <v>5.5500000000000001E-5</v>
      </c>
      <c r="L16" s="195">
        <v>5.9700000000000001E-5</v>
      </c>
      <c r="M16" s="195">
        <v>6.3800000000000006E-5</v>
      </c>
      <c r="N16" s="195">
        <f t="shared" ref="N16:N65" si="31">C16/SUM(C$6:C$8)</f>
        <v>4.1678321678321677E-8</v>
      </c>
      <c r="O16" s="195">
        <f t="shared" ref="O16:O65" si="32">D16/SUM(D$6:D$8)</f>
        <v>4.1635220125786159E-8</v>
      </c>
      <c r="P16" s="195">
        <f t="shared" ref="P16:P65" si="33">E16/SUM(E$6:E$8)</f>
        <v>4.1661613098847791E-8</v>
      </c>
      <c r="Q16" s="195">
        <f t="shared" ref="Q16:Q65" si="34">F16/SUM(F$6:F$8)</f>
        <v>4.1621621621621627E-8</v>
      </c>
      <c r="R16" s="195">
        <f t="shared" ref="R16:R65" si="35">G16/SUM(G$6:G$8)</f>
        <v>4.1621621621621627E-8</v>
      </c>
      <c r="S16" s="195">
        <f t="shared" ref="S16:S65" si="36">H16/SUM(H$6:H$8)</f>
        <v>4.1621621621621627E-8</v>
      </c>
      <c r="T16" s="195">
        <f t="shared" ref="T16:T65" si="37">I16/SUM(I$6:I$8)</f>
        <v>4.1621621621621627E-8</v>
      </c>
      <c r="U16" s="195">
        <f t="shared" ref="U16:U65" si="38">J16/SUM(J$6:J$8)</f>
        <v>4.1621621621621627E-8</v>
      </c>
      <c r="V16" s="195">
        <f t="shared" ref="V16:V65" si="39">K16/SUM(K$6:K$8)</f>
        <v>4.1666666666666669E-8</v>
      </c>
      <c r="W16" s="195">
        <f t="shared" ref="W16:W65" si="40">L16/SUM(L$6:L$8)</f>
        <v>4.1631799163179915E-8</v>
      </c>
      <c r="X16" s="195">
        <f t="shared" ref="X16:X65" si="41">M16/SUM(M$6:M$8)</f>
        <v>4.1644908616187991E-8</v>
      </c>
      <c r="Y16" s="291">
        <f>AVERAGE(N16:X16)*1000*Conversions!$D$12</f>
        <v>3.3311028178698063E-5</v>
      </c>
      <c r="Z16" s="325"/>
      <c r="AA16" s="278">
        <v>1.3200000000000001E-5</v>
      </c>
      <c r="AB16" s="195">
        <v>3.3200000000000001E-5</v>
      </c>
      <c r="AC16" s="195">
        <v>3.3200000000000001E-5</v>
      </c>
      <c r="AD16" s="195">
        <v>3.1600000000000002E-5</v>
      </c>
      <c r="AE16" s="195">
        <v>3.1600000000000002E-5</v>
      </c>
      <c r="AF16" s="195">
        <v>3.1600000000000002E-5</v>
      </c>
      <c r="AG16" s="195">
        <v>3.1600000000000002E-5</v>
      </c>
      <c r="AH16" s="195">
        <v>3.1600000000000002E-5</v>
      </c>
      <c r="AI16" s="195">
        <v>2.94E-5</v>
      </c>
      <c r="AJ16" s="195">
        <v>3.1099999999999997E-5</v>
      </c>
      <c r="AK16" s="195">
        <v>2.9899999999999998E-5</v>
      </c>
      <c r="AL16" s="195">
        <f t="shared" si="20"/>
        <v>1.0731707317073171E-7</v>
      </c>
      <c r="AM16" s="195">
        <f t="shared" si="21"/>
        <v>1.0744336569579288E-7</v>
      </c>
      <c r="AN16" s="195">
        <f t="shared" si="22"/>
        <v>1.0744336569579288E-7</v>
      </c>
      <c r="AO16" s="195">
        <f t="shared" si="23"/>
        <v>1.0784982935153584E-7</v>
      </c>
      <c r="AP16" s="195">
        <f t="shared" si="24"/>
        <v>1.0784982935153584E-7</v>
      </c>
      <c r="AQ16" s="195">
        <f t="shared" si="25"/>
        <v>1.0784982935153584E-7</v>
      </c>
      <c r="AR16" s="195">
        <f t="shared" si="26"/>
        <v>1.0784982935153584E-7</v>
      </c>
      <c r="AS16" s="195">
        <f t="shared" si="27"/>
        <v>1.0784982935153584E-7</v>
      </c>
      <c r="AT16" s="195">
        <f t="shared" si="28"/>
        <v>1.0769230769230769E-7</v>
      </c>
      <c r="AU16" s="195">
        <f t="shared" si="29"/>
        <v>1.0761245674740484E-7</v>
      </c>
      <c r="AV16" s="195">
        <f t="shared" si="30"/>
        <v>1.0755395683453237E-7</v>
      </c>
      <c r="AW16" s="291">
        <f>AVERAGE(AL16:AV16)*1000*Conversions!$D$12</f>
        <v>8.6131758006853946E-5</v>
      </c>
      <c r="AX16" s="194"/>
      <c r="AY16" s="194"/>
      <c r="AZ16" s="194"/>
      <c r="BA16" s="194"/>
      <c r="BB16" s="194"/>
      <c r="BC16" s="194"/>
      <c r="BD16" s="194"/>
      <c r="BE16" s="194"/>
    </row>
    <row r="17" spans="1:57" ht="15" customHeight="1" x14ac:dyDescent="0.25">
      <c r="A17" s="279" t="s">
        <v>592</v>
      </c>
      <c r="B17" s="279" t="s">
        <v>681</v>
      </c>
      <c r="C17" s="278">
        <v>7.5300000000000006E-2</v>
      </c>
      <c r="D17" s="195">
        <v>8.3699999999999997E-2</v>
      </c>
      <c r="E17" s="195">
        <v>8.6800000000000002E-2</v>
      </c>
      <c r="F17" s="195">
        <v>8.7599999999999997E-2</v>
      </c>
      <c r="G17" s="195">
        <v>8.7599999999999997E-2</v>
      </c>
      <c r="H17" s="195">
        <v>8.7599999999999997E-2</v>
      </c>
      <c r="I17" s="195">
        <v>8.7599999999999997E-2</v>
      </c>
      <c r="J17" s="195">
        <v>8.7599999999999997E-2</v>
      </c>
      <c r="K17" s="195">
        <v>7.0099999999999996E-2</v>
      </c>
      <c r="L17" s="195">
        <v>7.5499999999999998E-2</v>
      </c>
      <c r="M17" s="195">
        <v>8.0600000000000005E-2</v>
      </c>
      <c r="N17" s="195">
        <f t="shared" si="31"/>
        <v>5.2657342657342659E-5</v>
      </c>
      <c r="O17" s="195">
        <f t="shared" si="32"/>
        <v>5.2641509433962259E-5</v>
      </c>
      <c r="P17" s="195">
        <f t="shared" si="33"/>
        <v>5.2637962401455429E-5</v>
      </c>
      <c r="Q17" s="195">
        <f t="shared" si="34"/>
        <v>5.2612612612612613E-5</v>
      </c>
      <c r="R17" s="195">
        <f t="shared" si="35"/>
        <v>5.2612612612612613E-5</v>
      </c>
      <c r="S17" s="195">
        <f t="shared" si="36"/>
        <v>5.2612612612612613E-5</v>
      </c>
      <c r="T17" s="195">
        <f t="shared" si="37"/>
        <v>5.2612612612612613E-5</v>
      </c>
      <c r="U17" s="195">
        <f t="shared" si="38"/>
        <v>5.2612612612612613E-5</v>
      </c>
      <c r="V17" s="195">
        <f t="shared" si="39"/>
        <v>5.2627627627627627E-5</v>
      </c>
      <c r="W17" s="195">
        <f t="shared" si="40"/>
        <v>5.2649930264993025E-5</v>
      </c>
      <c r="X17" s="195">
        <f t="shared" si="41"/>
        <v>5.2610966057441257E-5</v>
      </c>
      <c r="Y17" s="291">
        <f>AVERAGE(N17:X17)*Conversions!$D$5*Conversions!$D$13*Conversions!$D$6</f>
        <v>4.6027316825402412E-5</v>
      </c>
      <c r="Z17" s="325"/>
      <c r="AA17" s="278">
        <v>7.43E-3</v>
      </c>
      <c r="AB17" s="195">
        <v>1.8599999999999998E-2</v>
      </c>
      <c r="AC17" s="195">
        <v>1.8599999999999998E-2</v>
      </c>
      <c r="AD17" s="195">
        <v>1.77E-2</v>
      </c>
      <c r="AE17" s="195">
        <v>1.77E-2</v>
      </c>
      <c r="AF17" s="195">
        <v>1.77E-2</v>
      </c>
      <c r="AG17" s="195">
        <v>1.77E-2</v>
      </c>
      <c r="AH17" s="195">
        <v>1.77E-2</v>
      </c>
      <c r="AI17" s="195">
        <v>1.6500000000000001E-2</v>
      </c>
      <c r="AJ17" s="195">
        <v>1.7500000000000002E-2</v>
      </c>
      <c r="AK17" s="195">
        <v>1.6799999999999999E-2</v>
      </c>
      <c r="AL17" s="195">
        <f t="shared" si="20"/>
        <v>6.0406504065040647E-5</v>
      </c>
      <c r="AM17" s="195">
        <f t="shared" si="21"/>
        <v>6.0194174757281549E-5</v>
      </c>
      <c r="AN17" s="195">
        <f t="shared" si="22"/>
        <v>6.0194174757281549E-5</v>
      </c>
      <c r="AO17" s="195">
        <f t="shared" si="23"/>
        <v>6.0409556313993174E-5</v>
      </c>
      <c r="AP17" s="195">
        <f t="shared" si="24"/>
        <v>6.0409556313993174E-5</v>
      </c>
      <c r="AQ17" s="195">
        <f t="shared" si="25"/>
        <v>6.0409556313993174E-5</v>
      </c>
      <c r="AR17" s="195">
        <f t="shared" si="26"/>
        <v>6.0409556313993174E-5</v>
      </c>
      <c r="AS17" s="195">
        <f t="shared" si="27"/>
        <v>6.0409556313993174E-5</v>
      </c>
      <c r="AT17" s="195">
        <f t="shared" si="28"/>
        <v>6.0439560439560444E-5</v>
      </c>
      <c r="AU17" s="195">
        <f t="shared" si="29"/>
        <v>6.0553633217993083E-5</v>
      </c>
      <c r="AV17" s="195">
        <f t="shared" si="30"/>
        <v>6.0431654676258989E-5</v>
      </c>
      <c r="AW17" s="291">
        <f>AVERAGE(AL17:AV17)*Conversions!$D$5*Conversions!$D$13*Conversions!$D$6</f>
        <v>5.2815792887831002E-5</v>
      </c>
      <c r="AX17" s="194"/>
      <c r="AY17" s="194"/>
      <c r="AZ17" s="194"/>
      <c r="BA17" s="194"/>
      <c r="BB17" s="194"/>
      <c r="BC17" s="194"/>
      <c r="BD17" s="194"/>
      <c r="BE17" s="194"/>
    </row>
    <row r="18" spans="1:57" ht="15" customHeight="1" x14ac:dyDescent="0.25">
      <c r="A18" s="279" t="s">
        <v>590</v>
      </c>
      <c r="B18" s="279" t="s">
        <v>696</v>
      </c>
      <c r="C18" s="278">
        <v>3.8</v>
      </c>
      <c r="D18" s="195">
        <v>4.22</v>
      </c>
      <c r="E18" s="195">
        <v>4.37</v>
      </c>
      <c r="F18" s="195">
        <v>4.42</v>
      </c>
      <c r="G18" s="195">
        <v>4.42</v>
      </c>
      <c r="H18" s="195">
        <v>4.42</v>
      </c>
      <c r="I18" s="195">
        <v>4.42</v>
      </c>
      <c r="J18" s="195">
        <v>4.42</v>
      </c>
      <c r="K18" s="195">
        <v>3.53</v>
      </c>
      <c r="L18" s="195">
        <v>3.8</v>
      </c>
      <c r="M18" s="195">
        <v>4.0599999999999996</v>
      </c>
      <c r="N18" s="195">
        <f t="shared" si="31"/>
        <v>2.6573426573426573E-3</v>
      </c>
      <c r="O18" s="195">
        <f t="shared" si="32"/>
        <v>2.6540880503144655E-3</v>
      </c>
      <c r="P18" s="195">
        <f t="shared" si="33"/>
        <v>2.6500909642207401E-3</v>
      </c>
      <c r="Q18" s="195">
        <f t="shared" si="34"/>
        <v>2.6546546546546545E-3</v>
      </c>
      <c r="R18" s="195">
        <f t="shared" si="35"/>
        <v>2.6546546546546545E-3</v>
      </c>
      <c r="S18" s="195">
        <f t="shared" si="36"/>
        <v>2.6546546546546545E-3</v>
      </c>
      <c r="T18" s="195">
        <f t="shared" si="37"/>
        <v>2.6546546546546545E-3</v>
      </c>
      <c r="U18" s="195">
        <f t="shared" si="38"/>
        <v>2.6546546546546545E-3</v>
      </c>
      <c r="V18" s="195">
        <f t="shared" si="39"/>
        <v>2.6501501501501501E-3</v>
      </c>
      <c r="W18" s="195">
        <f t="shared" si="40"/>
        <v>2.6499302649930262E-3</v>
      </c>
      <c r="X18" s="195">
        <f t="shared" si="41"/>
        <v>2.650130548302872E-3</v>
      </c>
      <c r="Y18" s="291">
        <f t="shared" ref="Y18" si="42">AVERAGE(N18:X18)</f>
        <v>2.653182355327017E-3</v>
      </c>
      <c r="Z18" s="325"/>
      <c r="AA18" s="278">
        <v>0.42</v>
      </c>
      <c r="AB18" s="195">
        <v>1.05</v>
      </c>
      <c r="AC18" s="195">
        <v>1.05</v>
      </c>
      <c r="AD18" s="195">
        <v>1</v>
      </c>
      <c r="AE18" s="195">
        <v>1</v>
      </c>
      <c r="AF18" s="195">
        <v>1</v>
      </c>
      <c r="AG18" s="195">
        <v>1</v>
      </c>
      <c r="AH18" s="195">
        <v>1</v>
      </c>
      <c r="AI18" s="195">
        <v>0.93300000000000005</v>
      </c>
      <c r="AJ18" s="195">
        <v>0.98799999999999999</v>
      </c>
      <c r="AK18" s="195">
        <v>0.94899999999999995</v>
      </c>
      <c r="AL18" s="195">
        <f t="shared" si="20"/>
        <v>3.4146341463414634E-3</v>
      </c>
      <c r="AM18" s="195">
        <f t="shared" si="21"/>
        <v>3.3980582524271844E-3</v>
      </c>
      <c r="AN18" s="195">
        <f t="shared" si="22"/>
        <v>3.3980582524271844E-3</v>
      </c>
      <c r="AO18" s="195">
        <f t="shared" si="23"/>
        <v>3.4129692832764505E-3</v>
      </c>
      <c r="AP18" s="195">
        <f t="shared" si="24"/>
        <v>3.4129692832764505E-3</v>
      </c>
      <c r="AQ18" s="195">
        <f t="shared" si="25"/>
        <v>3.4129692832764505E-3</v>
      </c>
      <c r="AR18" s="195">
        <f t="shared" si="26"/>
        <v>3.4129692832764505E-3</v>
      </c>
      <c r="AS18" s="195">
        <f t="shared" si="27"/>
        <v>3.4129692832764505E-3</v>
      </c>
      <c r="AT18" s="195">
        <f t="shared" si="28"/>
        <v>3.4175824175824176E-3</v>
      </c>
      <c r="AU18" s="195">
        <f t="shared" si="29"/>
        <v>3.4186851211072664E-3</v>
      </c>
      <c r="AV18" s="195">
        <f t="shared" si="30"/>
        <v>3.4136690647482014E-3</v>
      </c>
      <c r="AW18" s="291">
        <f t="shared" ref="AW18:AW65" si="43">AVERAGE(AL18:AV18)</f>
        <v>3.4114121519105423E-3</v>
      </c>
      <c r="AX18" s="194"/>
      <c r="AY18" s="194"/>
      <c r="AZ18" s="194"/>
      <c r="BA18" s="194"/>
      <c r="BB18" s="194"/>
      <c r="BC18" s="194"/>
      <c r="BD18" s="194"/>
      <c r="BE18" s="194"/>
    </row>
    <row r="19" spans="1:57" ht="15" customHeight="1" x14ac:dyDescent="0.25">
      <c r="A19" s="279" t="s">
        <v>91</v>
      </c>
      <c r="B19" s="279"/>
      <c r="C19" s="280"/>
      <c r="D19" s="195"/>
      <c r="E19" s="195"/>
      <c r="F19" s="195"/>
      <c r="G19" s="195"/>
      <c r="H19" s="195"/>
      <c r="I19" s="195"/>
      <c r="J19" s="195"/>
      <c r="K19" s="196"/>
      <c r="L19" s="196"/>
      <c r="M19" s="196"/>
      <c r="N19" s="195"/>
      <c r="O19" s="195"/>
      <c r="P19" s="195"/>
      <c r="Q19" s="195"/>
      <c r="R19" s="195"/>
      <c r="S19" s="195"/>
      <c r="T19" s="195"/>
      <c r="U19" s="195"/>
      <c r="V19" s="195"/>
      <c r="W19" s="195"/>
      <c r="X19" s="195"/>
      <c r="Y19" s="194"/>
      <c r="Z19" s="325"/>
      <c r="AA19" s="280"/>
      <c r="AB19" s="195"/>
      <c r="AC19" s="195"/>
      <c r="AD19" s="195"/>
      <c r="AE19" s="195"/>
      <c r="AF19" s="195"/>
      <c r="AG19" s="195"/>
      <c r="AH19" s="195"/>
      <c r="AI19" s="196"/>
      <c r="AJ19" s="196"/>
      <c r="AK19" s="196"/>
      <c r="AL19" s="195"/>
      <c r="AM19" s="195"/>
      <c r="AN19" s="195"/>
      <c r="AO19" s="195"/>
      <c r="AP19" s="195"/>
      <c r="AQ19" s="195"/>
      <c r="AR19" s="195"/>
      <c r="AS19" s="195"/>
      <c r="AT19" s="195"/>
      <c r="AU19" s="195"/>
      <c r="AV19" s="195"/>
      <c r="AW19" s="194"/>
      <c r="AX19" s="194"/>
      <c r="AY19" s="194"/>
      <c r="AZ19" s="194"/>
      <c r="BA19" s="194"/>
      <c r="BB19" s="194"/>
      <c r="BC19" s="194"/>
      <c r="BD19" s="194"/>
      <c r="BE19" s="194"/>
    </row>
    <row r="20" spans="1:57" ht="15" customHeight="1" x14ac:dyDescent="0.25">
      <c r="A20" s="279" t="s">
        <v>587</v>
      </c>
      <c r="B20" s="279" t="s">
        <v>697</v>
      </c>
      <c r="C20" s="278">
        <v>6.4600000000000004E-10</v>
      </c>
      <c r="D20" s="195">
        <v>7.18E-10</v>
      </c>
      <c r="E20" s="195">
        <v>7.4500000000000001E-10</v>
      </c>
      <c r="F20" s="195">
        <v>7.5199999999999999E-10</v>
      </c>
      <c r="G20" s="195">
        <v>7.5199999999999999E-10</v>
      </c>
      <c r="H20" s="195">
        <v>7.5199999999999999E-10</v>
      </c>
      <c r="I20" s="195">
        <v>7.5199999999999999E-10</v>
      </c>
      <c r="J20" s="195">
        <v>7.5199999999999999E-10</v>
      </c>
      <c r="K20" s="195">
        <v>6.0099999999999999E-10</v>
      </c>
      <c r="L20" s="195">
        <v>6.4800000000000004E-10</v>
      </c>
      <c r="M20" s="195">
        <v>6.9199999999999999E-10</v>
      </c>
      <c r="N20" s="195">
        <f t="shared" si="31"/>
        <v>4.517482517482518E-13</v>
      </c>
      <c r="O20" s="195">
        <f t="shared" si="32"/>
        <v>4.5157232704402518E-13</v>
      </c>
      <c r="P20" s="195">
        <f t="shared" si="33"/>
        <v>4.5178896300788359E-13</v>
      </c>
      <c r="Q20" s="195">
        <f t="shared" si="34"/>
        <v>4.5165165165165163E-13</v>
      </c>
      <c r="R20" s="195">
        <f t="shared" si="35"/>
        <v>4.5165165165165163E-13</v>
      </c>
      <c r="S20" s="195">
        <f t="shared" si="36"/>
        <v>4.5165165165165163E-13</v>
      </c>
      <c r="T20" s="195">
        <f t="shared" si="37"/>
        <v>4.5165165165165163E-13</v>
      </c>
      <c r="U20" s="195">
        <f t="shared" si="38"/>
        <v>4.5165165165165163E-13</v>
      </c>
      <c r="V20" s="195">
        <f t="shared" si="39"/>
        <v>4.5120120120120117E-13</v>
      </c>
      <c r="W20" s="195">
        <f t="shared" si="40"/>
        <v>4.5188284518828454E-13</v>
      </c>
      <c r="X20" s="195">
        <f t="shared" si="41"/>
        <v>4.5169712793733682E-13</v>
      </c>
      <c r="Y20" s="291">
        <f t="shared" ref="Y20:Y65" si="44">AVERAGE(N20:X20)</f>
        <v>4.5164990676229465E-13</v>
      </c>
      <c r="Z20" s="325"/>
      <c r="AA20" s="278">
        <v>6.3800000000000002E-11</v>
      </c>
      <c r="AB20" s="195">
        <v>1.5999999999999999E-10</v>
      </c>
      <c r="AC20" s="195">
        <v>1.5999999999999999E-10</v>
      </c>
      <c r="AD20" s="195">
        <v>1.5199999999999999E-10</v>
      </c>
      <c r="AE20" s="195">
        <v>1.5199999999999999E-10</v>
      </c>
      <c r="AF20" s="195">
        <v>1.5199999999999999E-10</v>
      </c>
      <c r="AG20" s="195">
        <v>1.5199999999999999E-10</v>
      </c>
      <c r="AH20" s="195">
        <v>1.5199999999999999E-10</v>
      </c>
      <c r="AI20" s="195">
        <v>1.42E-10</v>
      </c>
      <c r="AJ20" s="195">
        <v>1.5E-10</v>
      </c>
      <c r="AK20" s="195">
        <v>1.4399999999999999E-10</v>
      </c>
      <c r="AL20" s="195">
        <f t="shared" si="20"/>
        <v>5.1869918699186991E-13</v>
      </c>
      <c r="AM20" s="195">
        <f t="shared" si="21"/>
        <v>5.1779935275080902E-13</v>
      </c>
      <c r="AN20" s="195">
        <f t="shared" si="22"/>
        <v>5.1779935275080902E-13</v>
      </c>
      <c r="AO20" s="195">
        <f t="shared" si="23"/>
        <v>5.1877133105802047E-13</v>
      </c>
      <c r="AP20" s="195">
        <f t="shared" si="24"/>
        <v>5.1877133105802047E-13</v>
      </c>
      <c r="AQ20" s="195">
        <f t="shared" si="25"/>
        <v>5.1877133105802047E-13</v>
      </c>
      <c r="AR20" s="195">
        <f t="shared" si="26"/>
        <v>5.1877133105802047E-13</v>
      </c>
      <c r="AS20" s="195">
        <f t="shared" si="27"/>
        <v>5.1877133105802047E-13</v>
      </c>
      <c r="AT20" s="195">
        <f t="shared" si="28"/>
        <v>5.2014652014652015E-13</v>
      </c>
      <c r="AU20" s="195">
        <f t="shared" si="29"/>
        <v>5.1903114186851208E-13</v>
      </c>
      <c r="AV20" s="195">
        <f t="shared" si="30"/>
        <v>5.1798561151079133E-13</v>
      </c>
      <c r="AW20" s="291">
        <f t="shared" si="43"/>
        <v>5.1866525648267407E-13</v>
      </c>
      <c r="AX20" s="194"/>
      <c r="AY20" s="194"/>
      <c r="AZ20" s="194"/>
      <c r="BA20" s="194"/>
      <c r="BB20" s="194"/>
      <c r="BC20" s="194"/>
      <c r="BD20" s="194"/>
      <c r="BE20" s="194"/>
    </row>
    <row r="21" spans="1:57" ht="15" customHeight="1" x14ac:dyDescent="0.25">
      <c r="A21" s="279" t="s">
        <v>651</v>
      </c>
      <c r="B21" s="279" t="s">
        <v>698</v>
      </c>
      <c r="C21" s="278">
        <v>3.2299999999999998E-9</v>
      </c>
      <c r="D21" s="195">
        <v>3.5899999999999998E-9</v>
      </c>
      <c r="E21" s="195">
        <v>3.72E-9</v>
      </c>
      <c r="F21" s="195">
        <v>3.7600000000000003E-9</v>
      </c>
      <c r="G21" s="195">
        <v>3.7600000000000003E-9</v>
      </c>
      <c r="H21" s="195">
        <v>3.7600000000000003E-9</v>
      </c>
      <c r="I21" s="195">
        <v>3.7600000000000003E-9</v>
      </c>
      <c r="J21" s="195">
        <v>3.7600000000000003E-9</v>
      </c>
      <c r="K21" s="195">
        <v>3.0100000000000002E-9</v>
      </c>
      <c r="L21" s="195">
        <v>3.24E-9</v>
      </c>
      <c r="M21" s="195">
        <v>3.46E-9</v>
      </c>
      <c r="N21" s="195">
        <f t="shared" si="31"/>
        <v>2.2587412587412586E-12</v>
      </c>
      <c r="O21" s="195">
        <f t="shared" si="32"/>
        <v>2.2578616352201258E-12</v>
      </c>
      <c r="P21" s="195">
        <f t="shared" si="33"/>
        <v>2.2559126743480897E-12</v>
      </c>
      <c r="Q21" s="195">
        <f t="shared" si="34"/>
        <v>2.2582582582582585E-12</v>
      </c>
      <c r="R21" s="195">
        <f t="shared" si="35"/>
        <v>2.2582582582582585E-12</v>
      </c>
      <c r="S21" s="195">
        <f t="shared" si="36"/>
        <v>2.2582582582582585E-12</v>
      </c>
      <c r="T21" s="195">
        <f t="shared" si="37"/>
        <v>2.2582582582582585E-12</v>
      </c>
      <c r="U21" s="195">
        <f t="shared" si="38"/>
        <v>2.2582582582582585E-12</v>
      </c>
      <c r="V21" s="195">
        <f t="shared" si="39"/>
        <v>2.2597597597597598E-12</v>
      </c>
      <c r="W21" s="195">
        <f t="shared" si="40"/>
        <v>2.2594142259414224E-12</v>
      </c>
      <c r="X21" s="195">
        <f t="shared" si="41"/>
        <v>2.2584856396866842E-12</v>
      </c>
      <c r="Y21" s="291">
        <f t="shared" si="44"/>
        <v>2.2583151349989669E-12</v>
      </c>
      <c r="Z21" s="325"/>
      <c r="AA21" s="278">
        <v>3.1899999999999998E-10</v>
      </c>
      <c r="AB21" s="195">
        <v>8.0000000000000003E-10</v>
      </c>
      <c r="AC21" s="195">
        <v>8.0000000000000003E-10</v>
      </c>
      <c r="AD21" s="195">
        <v>7.5999999999999996E-10</v>
      </c>
      <c r="AE21" s="195">
        <v>7.5999999999999996E-10</v>
      </c>
      <c r="AF21" s="195">
        <v>7.5999999999999996E-10</v>
      </c>
      <c r="AG21" s="195">
        <v>7.5999999999999996E-10</v>
      </c>
      <c r="AH21" s="195">
        <v>7.5999999999999996E-10</v>
      </c>
      <c r="AI21" s="195">
        <v>7.0800000000000004E-10</v>
      </c>
      <c r="AJ21" s="195">
        <v>7.5E-10</v>
      </c>
      <c r="AK21" s="195">
        <v>7.2E-10</v>
      </c>
      <c r="AL21" s="195">
        <f t="shared" si="20"/>
        <v>2.5934959349593494E-12</v>
      </c>
      <c r="AM21" s="195">
        <f t="shared" si="21"/>
        <v>2.5889967637540455E-12</v>
      </c>
      <c r="AN21" s="195">
        <f t="shared" si="22"/>
        <v>2.5889967637540455E-12</v>
      </c>
      <c r="AO21" s="195">
        <f t="shared" si="23"/>
        <v>2.5938566552901024E-12</v>
      </c>
      <c r="AP21" s="195">
        <f t="shared" si="24"/>
        <v>2.5938566552901024E-12</v>
      </c>
      <c r="AQ21" s="195">
        <f t="shared" si="25"/>
        <v>2.5938566552901024E-12</v>
      </c>
      <c r="AR21" s="195">
        <f t="shared" si="26"/>
        <v>2.5938566552901024E-12</v>
      </c>
      <c r="AS21" s="195">
        <f t="shared" si="27"/>
        <v>2.5938566552901024E-12</v>
      </c>
      <c r="AT21" s="195">
        <f t="shared" si="28"/>
        <v>2.5934065934065934E-12</v>
      </c>
      <c r="AU21" s="195">
        <f t="shared" si="29"/>
        <v>2.5951557093425607E-12</v>
      </c>
      <c r="AV21" s="195">
        <f t="shared" si="30"/>
        <v>2.5899280575539569E-12</v>
      </c>
      <c r="AW21" s="291">
        <f t="shared" si="43"/>
        <v>2.5926602817473697E-12</v>
      </c>
      <c r="AX21" s="194"/>
      <c r="AY21" s="194"/>
      <c r="AZ21" s="194"/>
      <c r="BA21" s="194"/>
      <c r="BB21" s="194"/>
      <c r="BC21" s="194"/>
      <c r="BD21" s="194"/>
      <c r="BE21" s="194"/>
    </row>
    <row r="22" spans="1:57" ht="15" customHeight="1" x14ac:dyDescent="0.25">
      <c r="A22" s="279" t="s">
        <v>652</v>
      </c>
      <c r="B22" s="279" t="s">
        <v>699</v>
      </c>
      <c r="C22" s="278">
        <v>3.2299999999999998E-9</v>
      </c>
      <c r="D22" s="195">
        <v>3.5899999999999998E-9</v>
      </c>
      <c r="E22" s="195">
        <v>3.72E-9</v>
      </c>
      <c r="F22" s="195">
        <v>3.7600000000000003E-9</v>
      </c>
      <c r="G22" s="195">
        <v>3.7600000000000003E-9</v>
      </c>
      <c r="H22" s="195">
        <v>3.7600000000000003E-9</v>
      </c>
      <c r="I22" s="195">
        <v>3.7600000000000003E-9</v>
      </c>
      <c r="J22" s="195">
        <v>3.7600000000000003E-9</v>
      </c>
      <c r="K22" s="195">
        <v>3.0100000000000002E-9</v>
      </c>
      <c r="L22" s="195">
        <v>3.24E-9</v>
      </c>
      <c r="M22" s="195">
        <v>3.46E-9</v>
      </c>
      <c r="N22" s="195">
        <f t="shared" si="31"/>
        <v>2.2587412587412586E-12</v>
      </c>
      <c r="O22" s="195">
        <f t="shared" si="32"/>
        <v>2.2578616352201258E-12</v>
      </c>
      <c r="P22" s="195">
        <f t="shared" si="33"/>
        <v>2.2559126743480897E-12</v>
      </c>
      <c r="Q22" s="195">
        <f t="shared" si="34"/>
        <v>2.2582582582582585E-12</v>
      </c>
      <c r="R22" s="195">
        <f t="shared" si="35"/>
        <v>2.2582582582582585E-12</v>
      </c>
      <c r="S22" s="195">
        <f t="shared" si="36"/>
        <v>2.2582582582582585E-12</v>
      </c>
      <c r="T22" s="195">
        <f t="shared" si="37"/>
        <v>2.2582582582582585E-12</v>
      </c>
      <c r="U22" s="195">
        <f t="shared" si="38"/>
        <v>2.2582582582582585E-12</v>
      </c>
      <c r="V22" s="195">
        <f t="shared" si="39"/>
        <v>2.2597597597597598E-12</v>
      </c>
      <c r="W22" s="195">
        <f t="shared" si="40"/>
        <v>2.2594142259414224E-12</v>
      </c>
      <c r="X22" s="195">
        <f t="shared" si="41"/>
        <v>2.2584856396866842E-12</v>
      </c>
      <c r="Y22" s="291">
        <f t="shared" si="44"/>
        <v>2.2583151349989669E-12</v>
      </c>
      <c r="Z22" s="325"/>
      <c r="AA22" s="278">
        <v>3.1899999999999998E-10</v>
      </c>
      <c r="AB22" s="195">
        <v>8.0000000000000003E-10</v>
      </c>
      <c r="AC22" s="195">
        <v>8.0000000000000003E-10</v>
      </c>
      <c r="AD22" s="195">
        <v>7.5999999999999996E-10</v>
      </c>
      <c r="AE22" s="195">
        <v>7.5999999999999996E-10</v>
      </c>
      <c r="AF22" s="195">
        <v>7.5999999999999996E-10</v>
      </c>
      <c r="AG22" s="195">
        <v>7.5999999999999996E-10</v>
      </c>
      <c r="AH22" s="195">
        <v>7.5999999999999996E-10</v>
      </c>
      <c r="AI22" s="195">
        <v>7.0800000000000004E-10</v>
      </c>
      <c r="AJ22" s="195">
        <v>7.5E-10</v>
      </c>
      <c r="AK22" s="195">
        <v>7.2E-10</v>
      </c>
      <c r="AL22" s="195">
        <f t="shared" si="20"/>
        <v>2.5934959349593494E-12</v>
      </c>
      <c r="AM22" s="195">
        <f t="shared" si="21"/>
        <v>2.5889967637540455E-12</v>
      </c>
      <c r="AN22" s="195">
        <f t="shared" si="22"/>
        <v>2.5889967637540455E-12</v>
      </c>
      <c r="AO22" s="195">
        <f t="shared" si="23"/>
        <v>2.5938566552901024E-12</v>
      </c>
      <c r="AP22" s="195">
        <f t="shared" si="24"/>
        <v>2.5938566552901024E-12</v>
      </c>
      <c r="AQ22" s="195">
        <f t="shared" si="25"/>
        <v>2.5938566552901024E-12</v>
      </c>
      <c r="AR22" s="195">
        <f t="shared" si="26"/>
        <v>2.5938566552901024E-12</v>
      </c>
      <c r="AS22" s="195">
        <f t="shared" si="27"/>
        <v>2.5938566552901024E-12</v>
      </c>
      <c r="AT22" s="195">
        <f t="shared" si="28"/>
        <v>2.5934065934065934E-12</v>
      </c>
      <c r="AU22" s="195">
        <f t="shared" si="29"/>
        <v>2.5951557093425607E-12</v>
      </c>
      <c r="AV22" s="195">
        <f t="shared" si="30"/>
        <v>2.5899280575539569E-12</v>
      </c>
      <c r="AW22" s="291">
        <f t="shared" si="43"/>
        <v>2.5926602817473697E-12</v>
      </c>
      <c r="AX22" s="194"/>
      <c r="AY22" s="194"/>
      <c r="AZ22" s="194"/>
      <c r="BA22" s="194"/>
      <c r="BB22" s="194"/>
      <c r="BC22" s="194"/>
      <c r="BD22" s="194"/>
      <c r="BE22" s="194"/>
    </row>
    <row r="23" spans="1:57" ht="15" customHeight="1" x14ac:dyDescent="0.25">
      <c r="A23" s="279" t="s">
        <v>584</v>
      </c>
      <c r="B23" s="279" t="s">
        <v>700</v>
      </c>
      <c r="C23" s="278">
        <v>4.8499999999999998E-8</v>
      </c>
      <c r="D23" s="195">
        <v>5.3799999999999999E-8</v>
      </c>
      <c r="E23" s="195">
        <v>5.5899999999999998E-8</v>
      </c>
      <c r="F23" s="195">
        <v>5.6400000000000002E-8</v>
      </c>
      <c r="G23" s="195">
        <v>5.6400000000000002E-8</v>
      </c>
      <c r="H23" s="195">
        <v>5.6400000000000002E-8</v>
      </c>
      <c r="I23" s="195">
        <v>5.6400000000000002E-8</v>
      </c>
      <c r="J23" s="195">
        <v>5.6400000000000002E-8</v>
      </c>
      <c r="K23" s="195">
        <v>4.51E-8</v>
      </c>
      <c r="L23" s="195">
        <v>4.8599999999999998E-8</v>
      </c>
      <c r="M23" s="195">
        <v>5.1900000000000002E-8</v>
      </c>
      <c r="N23" s="195">
        <f t="shared" si="31"/>
        <v>3.3916083916083915E-11</v>
      </c>
      <c r="O23" s="195">
        <f t="shared" si="32"/>
        <v>3.383647798742138E-11</v>
      </c>
      <c r="P23" s="195">
        <f t="shared" si="33"/>
        <v>3.3899332929047908E-11</v>
      </c>
      <c r="Q23" s="195">
        <f t="shared" si="34"/>
        <v>3.3873873873873874E-11</v>
      </c>
      <c r="R23" s="195">
        <f t="shared" si="35"/>
        <v>3.3873873873873874E-11</v>
      </c>
      <c r="S23" s="195">
        <f t="shared" si="36"/>
        <v>3.3873873873873874E-11</v>
      </c>
      <c r="T23" s="195">
        <f t="shared" si="37"/>
        <v>3.3873873873873874E-11</v>
      </c>
      <c r="U23" s="195">
        <f t="shared" si="38"/>
        <v>3.3873873873873874E-11</v>
      </c>
      <c r="V23" s="195">
        <f t="shared" si="39"/>
        <v>3.3858858858858858E-11</v>
      </c>
      <c r="W23" s="195">
        <f t="shared" si="40"/>
        <v>3.3891213389121335E-11</v>
      </c>
      <c r="X23" s="195">
        <f t="shared" si="41"/>
        <v>3.3877284595300263E-11</v>
      </c>
      <c r="Y23" s="291">
        <f t="shared" si="44"/>
        <v>3.3877147367745738E-11</v>
      </c>
      <c r="Z23" s="325"/>
      <c r="AA23" s="278">
        <v>4.7799999999999996E-9</v>
      </c>
      <c r="AB23" s="195">
        <v>1.2E-8</v>
      </c>
      <c r="AC23" s="195">
        <v>1.2E-8</v>
      </c>
      <c r="AD23" s="195">
        <v>1.14E-8</v>
      </c>
      <c r="AE23" s="195">
        <v>1.14E-8</v>
      </c>
      <c r="AF23" s="195">
        <v>1.14E-8</v>
      </c>
      <c r="AG23" s="195">
        <v>1.14E-8</v>
      </c>
      <c r="AH23" s="195">
        <v>1.14E-8</v>
      </c>
      <c r="AI23" s="195">
        <v>1.0600000000000001E-8</v>
      </c>
      <c r="AJ23" s="195">
        <v>1.1199999999999999E-8</v>
      </c>
      <c r="AK23" s="195">
        <v>1.0800000000000001E-8</v>
      </c>
      <c r="AL23" s="195">
        <f t="shared" si="20"/>
        <v>3.8861788617886179E-11</v>
      </c>
      <c r="AM23" s="195">
        <f t="shared" si="21"/>
        <v>3.8834951456310681E-11</v>
      </c>
      <c r="AN23" s="195">
        <f t="shared" si="22"/>
        <v>3.8834951456310681E-11</v>
      </c>
      <c r="AO23" s="195">
        <f t="shared" si="23"/>
        <v>3.8907849829351532E-11</v>
      </c>
      <c r="AP23" s="195">
        <f t="shared" si="24"/>
        <v>3.8907849829351532E-11</v>
      </c>
      <c r="AQ23" s="195">
        <f t="shared" si="25"/>
        <v>3.8907849829351532E-11</v>
      </c>
      <c r="AR23" s="195">
        <f t="shared" si="26"/>
        <v>3.8907849829351532E-11</v>
      </c>
      <c r="AS23" s="195">
        <f t="shared" si="27"/>
        <v>3.8907849829351532E-11</v>
      </c>
      <c r="AT23" s="195">
        <f t="shared" si="28"/>
        <v>3.8827838827838831E-11</v>
      </c>
      <c r="AU23" s="195">
        <f t="shared" si="29"/>
        <v>3.8754325259515572E-11</v>
      </c>
      <c r="AV23" s="195">
        <f t="shared" si="30"/>
        <v>3.8848920863309358E-11</v>
      </c>
      <c r="AW23" s="291">
        <f t="shared" si="43"/>
        <v>3.8863820511629902E-11</v>
      </c>
      <c r="AX23" s="194"/>
      <c r="AY23" s="194"/>
      <c r="AZ23" s="194"/>
      <c r="BA23" s="194"/>
      <c r="BB23" s="194"/>
      <c r="BC23" s="194"/>
      <c r="BD23" s="194"/>
      <c r="BE23" s="194"/>
    </row>
    <row r="24" spans="1:57" ht="15" customHeight="1" x14ac:dyDescent="0.25">
      <c r="A24" s="279" t="s">
        <v>578</v>
      </c>
      <c r="B24" s="279" t="s">
        <v>701</v>
      </c>
      <c r="C24" s="278">
        <v>9.6999999999999995E-8</v>
      </c>
      <c r="D24" s="195">
        <v>1.08E-7</v>
      </c>
      <c r="E24" s="195">
        <v>1.12E-7</v>
      </c>
      <c r="F24" s="195">
        <v>1.1300000000000001E-7</v>
      </c>
      <c r="G24" s="195">
        <v>1.1300000000000001E-7</v>
      </c>
      <c r="H24" s="195">
        <v>1.1300000000000001E-7</v>
      </c>
      <c r="I24" s="195">
        <v>1.1300000000000001E-7</v>
      </c>
      <c r="J24" s="195">
        <v>1.1300000000000001E-7</v>
      </c>
      <c r="K24" s="195">
        <v>9.02E-8</v>
      </c>
      <c r="L24" s="195">
        <v>9.7100000000000003E-8</v>
      </c>
      <c r="M24" s="195">
        <v>1.04E-7</v>
      </c>
      <c r="N24" s="195">
        <f t="shared" si="31"/>
        <v>6.783216783216783E-11</v>
      </c>
      <c r="O24" s="195">
        <f t="shared" si="32"/>
        <v>6.7924528301886789E-11</v>
      </c>
      <c r="P24" s="195">
        <f t="shared" si="33"/>
        <v>6.7919951485748942E-11</v>
      </c>
      <c r="Q24" s="195">
        <f t="shared" si="34"/>
        <v>6.7867867867867866E-11</v>
      </c>
      <c r="R24" s="195">
        <f t="shared" si="35"/>
        <v>6.7867867867867866E-11</v>
      </c>
      <c r="S24" s="195">
        <f t="shared" si="36"/>
        <v>6.7867867867867866E-11</v>
      </c>
      <c r="T24" s="195">
        <f t="shared" si="37"/>
        <v>6.7867867867867866E-11</v>
      </c>
      <c r="U24" s="195">
        <f t="shared" si="38"/>
        <v>6.7867867867867866E-11</v>
      </c>
      <c r="V24" s="195">
        <f t="shared" si="39"/>
        <v>6.7717717717717715E-11</v>
      </c>
      <c r="W24" s="195">
        <f t="shared" si="40"/>
        <v>6.7712691771269175E-11</v>
      </c>
      <c r="X24" s="195">
        <f t="shared" si="41"/>
        <v>6.7885117493472589E-11</v>
      </c>
      <c r="Y24" s="291">
        <f t="shared" si="44"/>
        <v>6.7848319449236578E-11</v>
      </c>
      <c r="Z24" s="325"/>
      <c r="AA24" s="278">
        <v>9.5700000000000007E-9</v>
      </c>
      <c r="AB24" s="195">
        <v>2.4E-8</v>
      </c>
      <c r="AC24" s="195">
        <v>2.4E-8</v>
      </c>
      <c r="AD24" s="195">
        <v>2.2799999999999999E-8</v>
      </c>
      <c r="AE24" s="195">
        <v>2.2799999999999999E-8</v>
      </c>
      <c r="AF24" s="195">
        <v>2.2799999999999999E-8</v>
      </c>
      <c r="AG24" s="195">
        <v>2.2799999999999999E-8</v>
      </c>
      <c r="AH24" s="195">
        <v>2.2799999999999999E-8</v>
      </c>
      <c r="AI24" s="195">
        <v>2.1200000000000001E-8</v>
      </c>
      <c r="AJ24" s="195">
        <v>2.25E-8</v>
      </c>
      <c r="AK24" s="195">
        <v>2.1600000000000002E-8</v>
      </c>
      <c r="AL24" s="195">
        <f t="shared" si="20"/>
        <v>7.7804878048780499E-11</v>
      </c>
      <c r="AM24" s="195">
        <f t="shared" si="21"/>
        <v>7.7669902912621361E-11</v>
      </c>
      <c r="AN24" s="195">
        <f t="shared" si="22"/>
        <v>7.7669902912621361E-11</v>
      </c>
      <c r="AO24" s="195">
        <f t="shared" si="23"/>
        <v>7.7815699658703064E-11</v>
      </c>
      <c r="AP24" s="195">
        <f t="shared" si="24"/>
        <v>7.7815699658703064E-11</v>
      </c>
      <c r="AQ24" s="195">
        <f t="shared" si="25"/>
        <v>7.7815699658703064E-11</v>
      </c>
      <c r="AR24" s="195">
        <f t="shared" si="26"/>
        <v>7.7815699658703064E-11</v>
      </c>
      <c r="AS24" s="195">
        <f t="shared" si="27"/>
        <v>7.7815699658703064E-11</v>
      </c>
      <c r="AT24" s="195">
        <f t="shared" si="28"/>
        <v>7.7655677655677662E-11</v>
      </c>
      <c r="AU24" s="195">
        <f t="shared" si="29"/>
        <v>7.7854671280276822E-11</v>
      </c>
      <c r="AV24" s="195">
        <f t="shared" si="30"/>
        <v>7.7697841726618716E-11</v>
      </c>
      <c r="AW24" s="291">
        <f t="shared" si="43"/>
        <v>7.7766488439101069E-11</v>
      </c>
      <c r="AX24" s="194"/>
      <c r="AY24" s="194"/>
      <c r="AZ24" s="194"/>
      <c r="BA24" s="194"/>
      <c r="BB24" s="194"/>
      <c r="BC24" s="194"/>
      <c r="BD24" s="194"/>
      <c r="BE24" s="194"/>
    </row>
    <row r="25" spans="1:57" ht="15" customHeight="1" x14ac:dyDescent="0.25">
      <c r="A25" s="279" t="s">
        <v>82</v>
      </c>
      <c r="B25" s="279"/>
      <c r="C25" s="280"/>
      <c r="D25" s="195"/>
      <c r="E25" s="195"/>
      <c r="F25" s="195"/>
      <c r="G25" s="195"/>
      <c r="H25" s="195"/>
      <c r="I25" s="195"/>
      <c r="J25" s="195"/>
      <c r="K25" s="196"/>
      <c r="L25" s="196"/>
      <c r="M25" s="196"/>
      <c r="N25" s="195"/>
      <c r="O25" s="195"/>
      <c r="P25" s="195"/>
      <c r="Q25" s="195"/>
      <c r="R25" s="195"/>
      <c r="S25" s="195"/>
      <c r="T25" s="195"/>
      <c r="U25" s="195"/>
      <c r="V25" s="195"/>
      <c r="W25" s="195"/>
      <c r="X25" s="195"/>
      <c r="Y25" s="194"/>
      <c r="Z25" s="325"/>
      <c r="AA25" s="280"/>
      <c r="AB25" s="195"/>
      <c r="AC25" s="195"/>
      <c r="AD25" s="195"/>
      <c r="AE25" s="195"/>
      <c r="AF25" s="195"/>
      <c r="AG25" s="195"/>
      <c r="AH25" s="195"/>
      <c r="AI25" s="196"/>
      <c r="AJ25" s="196"/>
      <c r="AK25" s="196"/>
      <c r="AL25" s="195"/>
      <c r="AM25" s="195"/>
      <c r="AN25" s="195"/>
      <c r="AO25" s="195"/>
      <c r="AP25" s="195"/>
      <c r="AQ25" s="195"/>
      <c r="AR25" s="195"/>
      <c r="AS25" s="195"/>
      <c r="AT25" s="195"/>
      <c r="AU25" s="195"/>
      <c r="AV25" s="195"/>
      <c r="AW25" s="194"/>
      <c r="AX25" s="194"/>
      <c r="AY25" s="194"/>
      <c r="AZ25" s="194"/>
      <c r="BA25" s="194"/>
      <c r="BB25" s="194"/>
      <c r="BC25" s="194"/>
      <c r="BD25" s="194"/>
      <c r="BE25" s="194"/>
    </row>
    <row r="26" spans="1:57" ht="15" customHeight="1" x14ac:dyDescent="0.25">
      <c r="A26" s="279" t="s">
        <v>653</v>
      </c>
      <c r="B26" s="279"/>
      <c r="C26" s="278">
        <v>4.1899999999999998E-13</v>
      </c>
      <c r="D26" s="195">
        <v>4.6500000000000004E-13</v>
      </c>
      <c r="E26" s="195">
        <v>4.8299999999999996E-13</v>
      </c>
      <c r="F26" s="195">
        <v>4.8700000000000005E-13</v>
      </c>
      <c r="G26" s="195">
        <v>4.8700000000000005E-13</v>
      </c>
      <c r="H26" s="195">
        <v>4.8700000000000005E-13</v>
      </c>
      <c r="I26" s="195">
        <v>4.8700000000000005E-13</v>
      </c>
      <c r="J26" s="195">
        <v>4.8700000000000005E-13</v>
      </c>
      <c r="K26" s="195">
        <v>3.9E-13</v>
      </c>
      <c r="L26" s="195">
        <v>4.1999999999999998E-13</v>
      </c>
      <c r="M26" s="195">
        <v>4.4800000000000001E-13</v>
      </c>
      <c r="N26" s="195">
        <f t="shared" si="31"/>
        <v>2.9300699300699302E-16</v>
      </c>
      <c r="O26" s="195">
        <f t="shared" si="32"/>
        <v>2.9245283018867929E-16</v>
      </c>
      <c r="P26" s="195">
        <f t="shared" si="33"/>
        <v>2.9290479078229227E-16</v>
      </c>
      <c r="Q26" s="195">
        <f t="shared" si="34"/>
        <v>2.924924924924925E-16</v>
      </c>
      <c r="R26" s="195">
        <f t="shared" si="35"/>
        <v>2.924924924924925E-16</v>
      </c>
      <c r="S26" s="195">
        <f t="shared" si="36"/>
        <v>2.924924924924925E-16</v>
      </c>
      <c r="T26" s="195">
        <f t="shared" si="37"/>
        <v>2.924924924924925E-16</v>
      </c>
      <c r="U26" s="195">
        <f t="shared" si="38"/>
        <v>2.924924924924925E-16</v>
      </c>
      <c r="V26" s="195">
        <f t="shared" si="39"/>
        <v>2.9279279279279279E-16</v>
      </c>
      <c r="W26" s="195">
        <f t="shared" si="40"/>
        <v>2.9288702928870291E-16</v>
      </c>
      <c r="X26" s="195">
        <f t="shared" si="41"/>
        <v>2.9242819843342039E-16</v>
      </c>
      <c r="Y26" s="292">
        <f t="shared" si="44"/>
        <v>2.9263046335957666E-16</v>
      </c>
      <c r="Z26" s="355"/>
      <c r="AA26" s="278">
        <v>9.3100000000000002E-14</v>
      </c>
      <c r="AB26" s="195">
        <v>2.3300000000000002E-13</v>
      </c>
      <c r="AC26" s="195">
        <v>2.3300000000000002E-13</v>
      </c>
      <c r="AD26" s="195">
        <v>2.2199999999999999E-13</v>
      </c>
      <c r="AE26" s="195">
        <v>2.2199999999999999E-13</v>
      </c>
      <c r="AF26" s="195">
        <v>2.2199999999999999E-13</v>
      </c>
      <c r="AG26" s="195">
        <v>2.2199999999999999E-13</v>
      </c>
      <c r="AH26" s="195">
        <v>2.2199999999999999E-13</v>
      </c>
      <c r="AI26" s="195">
        <v>2.07E-13</v>
      </c>
      <c r="AJ26" s="195">
        <v>2.19E-13</v>
      </c>
      <c r="AK26" s="195">
        <v>2.0999999999999999E-13</v>
      </c>
      <c r="AL26" s="195">
        <f t="shared" si="20"/>
        <v>7.5691056910569107E-16</v>
      </c>
      <c r="AM26" s="195">
        <f t="shared" si="21"/>
        <v>7.5404530744336576E-16</v>
      </c>
      <c r="AN26" s="195">
        <f t="shared" si="22"/>
        <v>7.5404530744336576E-16</v>
      </c>
      <c r="AO26" s="195">
        <f t="shared" si="23"/>
        <v>7.5767918088737195E-16</v>
      </c>
      <c r="AP26" s="195">
        <f t="shared" si="24"/>
        <v>7.5767918088737195E-16</v>
      </c>
      <c r="AQ26" s="195">
        <f t="shared" si="25"/>
        <v>7.5767918088737195E-16</v>
      </c>
      <c r="AR26" s="195">
        <f t="shared" si="26"/>
        <v>7.5767918088737195E-16</v>
      </c>
      <c r="AS26" s="195">
        <f t="shared" si="27"/>
        <v>7.5767918088737195E-16</v>
      </c>
      <c r="AT26" s="195">
        <f t="shared" si="28"/>
        <v>7.5824175824175827E-16</v>
      </c>
      <c r="AU26" s="195">
        <f t="shared" si="29"/>
        <v>7.5778546712802769E-16</v>
      </c>
      <c r="AV26" s="195">
        <f t="shared" si="30"/>
        <v>7.5539568345323733E-16</v>
      </c>
      <c r="AW26" s="292">
        <f t="shared" si="43"/>
        <v>7.5680181793202772E-16</v>
      </c>
      <c r="AX26" s="194" t="s">
        <v>988</v>
      </c>
      <c r="AY26" s="194"/>
      <c r="AZ26" s="194"/>
      <c r="BA26" s="194"/>
      <c r="BB26" s="194"/>
      <c r="BC26" s="194"/>
      <c r="BD26" s="194"/>
      <c r="BE26" s="194"/>
    </row>
    <row r="27" spans="1:57" ht="15" customHeight="1" x14ac:dyDescent="0.25">
      <c r="A27" s="279" t="s">
        <v>654</v>
      </c>
      <c r="B27" s="326" t="s">
        <v>686</v>
      </c>
      <c r="C27" s="278">
        <v>3.9000000000000001E-11</v>
      </c>
      <c r="D27" s="195">
        <v>4.3300000000000002E-11</v>
      </c>
      <c r="E27" s="195">
        <v>4.4900000000000001E-11</v>
      </c>
      <c r="F27" s="195">
        <v>4.5300000000000001E-11</v>
      </c>
      <c r="G27" s="195">
        <v>4.5300000000000001E-11</v>
      </c>
      <c r="H27" s="195">
        <v>4.5300000000000001E-11</v>
      </c>
      <c r="I27" s="195">
        <v>4.5300000000000001E-11</v>
      </c>
      <c r="J27" s="195">
        <v>4.5300000000000001E-11</v>
      </c>
      <c r="K27" s="195">
        <v>3.6200000000000002E-11</v>
      </c>
      <c r="L27" s="195">
        <v>3.9000000000000001E-11</v>
      </c>
      <c r="M27" s="195">
        <v>4.1700000000000002E-11</v>
      </c>
      <c r="N27" s="195">
        <f t="shared" si="31"/>
        <v>2.7272727272727275E-14</v>
      </c>
      <c r="O27" s="195">
        <f t="shared" si="32"/>
        <v>2.7232704402515725E-14</v>
      </c>
      <c r="P27" s="195">
        <f t="shared" si="33"/>
        <v>2.7228623408126138E-14</v>
      </c>
      <c r="Q27" s="195">
        <f t="shared" si="34"/>
        <v>2.7207207207207209E-14</v>
      </c>
      <c r="R27" s="195">
        <f t="shared" si="35"/>
        <v>2.7207207207207209E-14</v>
      </c>
      <c r="S27" s="195">
        <f t="shared" si="36"/>
        <v>2.7207207207207209E-14</v>
      </c>
      <c r="T27" s="195">
        <f t="shared" si="37"/>
        <v>2.7207207207207209E-14</v>
      </c>
      <c r="U27" s="195">
        <f t="shared" si="38"/>
        <v>2.7207207207207209E-14</v>
      </c>
      <c r="V27" s="195">
        <f t="shared" si="39"/>
        <v>2.7177177177177179E-14</v>
      </c>
      <c r="W27" s="195">
        <f t="shared" si="40"/>
        <v>2.7196652719665274E-14</v>
      </c>
      <c r="X27" s="195">
        <f t="shared" si="41"/>
        <v>2.7219321148825068E-14</v>
      </c>
      <c r="Y27" s="325">
        <f t="shared" si="44"/>
        <v>2.7214840196824785E-14</v>
      </c>
      <c r="Z27" s="325"/>
      <c r="AA27" s="278">
        <v>8.6600000000000007E-12</v>
      </c>
      <c r="AB27" s="195">
        <v>2.17E-11</v>
      </c>
      <c r="AC27" s="195">
        <v>2.17E-11</v>
      </c>
      <c r="AD27" s="195">
        <v>2.0599999999999999E-11</v>
      </c>
      <c r="AE27" s="195">
        <v>2.0599999999999999E-11</v>
      </c>
      <c r="AF27" s="195">
        <v>2.0599999999999999E-11</v>
      </c>
      <c r="AG27" s="195">
        <v>2.0599999999999999E-11</v>
      </c>
      <c r="AH27" s="195">
        <v>2.0599999999999999E-11</v>
      </c>
      <c r="AI27" s="195">
        <v>1.9199999999999999E-11</v>
      </c>
      <c r="AJ27" s="195">
        <v>2.0399999999999999E-11</v>
      </c>
      <c r="AK27" s="195">
        <v>1.9500000000000001E-11</v>
      </c>
      <c r="AL27" s="195">
        <f t="shared" si="20"/>
        <v>7.0406504065040658E-14</v>
      </c>
      <c r="AM27" s="195">
        <f t="shared" si="21"/>
        <v>7.0226537216828485E-14</v>
      </c>
      <c r="AN27" s="195">
        <f t="shared" si="22"/>
        <v>7.0226537216828485E-14</v>
      </c>
      <c r="AO27" s="195">
        <f t="shared" si="23"/>
        <v>7.0307167235494876E-14</v>
      </c>
      <c r="AP27" s="195">
        <f t="shared" si="24"/>
        <v>7.0307167235494876E-14</v>
      </c>
      <c r="AQ27" s="195">
        <f t="shared" si="25"/>
        <v>7.0307167235494876E-14</v>
      </c>
      <c r="AR27" s="195">
        <f t="shared" si="26"/>
        <v>7.0307167235494876E-14</v>
      </c>
      <c r="AS27" s="195">
        <f t="shared" si="27"/>
        <v>7.0307167235494876E-14</v>
      </c>
      <c r="AT27" s="195">
        <f t="shared" si="28"/>
        <v>7.0329670329670322E-14</v>
      </c>
      <c r="AU27" s="195">
        <f t="shared" si="29"/>
        <v>7.0588235294117639E-14</v>
      </c>
      <c r="AV27" s="195">
        <f t="shared" si="30"/>
        <v>7.0143884892086333E-14</v>
      </c>
      <c r="AW27" s="325">
        <f t="shared" si="43"/>
        <v>7.0314291381095115E-14</v>
      </c>
      <c r="AX27" s="194" t="s">
        <v>988</v>
      </c>
      <c r="AY27" s="194"/>
      <c r="AZ27" s="194"/>
      <c r="BA27" s="194"/>
      <c r="BB27" s="194"/>
      <c r="BC27" s="194"/>
      <c r="BD27" s="194"/>
      <c r="BE27" s="194"/>
    </row>
    <row r="28" spans="1:57" ht="15" customHeight="1" x14ac:dyDescent="0.25">
      <c r="A28" s="279" t="s">
        <v>655</v>
      </c>
      <c r="B28" s="279" t="s">
        <v>688</v>
      </c>
      <c r="C28" s="278">
        <v>6.2299999999999999E-12</v>
      </c>
      <c r="D28" s="195">
        <v>6.9200000000000004E-12</v>
      </c>
      <c r="E28" s="195">
        <v>7.1799999999999997E-12</v>
      </c>
      <c r="F28" s="195">
        <v>7.25E-12</v>
      </c>
      <c r="G28" s="195">
        <v>7.25E-12</v>
      </c>
      <c r="H28" s="195">
        <v>7.25E-12</v>
      </c>
      <c r="I28" s="195">
        <v>7.25E-12</v>
      </c>
      <c r="J28" s="195">
        <v>7.25E-12</v>
      </c>
      <c r="K28" s="195">
        <v>5.8000000000000003E-12</v>
      </c>
      <c r="L28" s="195">
        <v>6.2500000000000002E-12</v>
      </c>
      <c r="M28" s="195">
        <v>6.6699999999999996E-12</v>
      </c>
      <c r="N28" s="195">
        <f t="shared" si="31"/>
        <v>4.3566433566433565E-15</v>
      </c>
      <c r="O28" s="195">
        <f t="shared" si="32"/>
        <v>4.3522012578616353E-15</v>
      </c>
      <c r="P28" s="195">
        <f t="shared" si="33"/>
        <v>4.354154032747119E-15</v>
      </c>
      <c r="Q28" s="195">
        <f t="shared" si="34"/>
        <v>4.3543543543543547E-15</v>
      </c>
      <c r="R28" s="195">
        <f t="shared" si="35"/>
        <v>4.3543543543543547E-15</v>
      </c>
      <c r="S28" s="195">
        <f t="shared" si="36"/>
        <v>4.3543543543543547E-15</v>
      </c>
      <c r="T28" s="195">
        <f t="shared" si="37"/>
        <v>4.3543543543543547E-15</v>
      </c>
      <c r="U28" s="195">
        <f t="shared" si="38"/>
        <v>4.3543543543543547E-15</v>
      </c>
      <c r="V28" s="195">
        <f t="shared" si="39"/>
        <v>4.3543543543543547E-15</v>
      </c>
      <c r="W28" s="195">
        <f t="shared" si="40"/>
        <v>4.3584379358437935E-15</v>
      </c>
      <c r="X28" s="195">
        <f t="shared" si="41"/>
        <v>4.3537859007832892E-15</v>
      </c>
      <c r="Y28" s="194">
        <f t="shared" si="44"/>
        <v>4.3546680554550297E-15</v>
      </c>
      <c r="Z28" s="325"/>
      <c r="AA28" s="278">
        <v>1.3899999999999999E-12</v>
      </c>
      <c r="AB28" s="195">
        <v>3.47E-12</v>
      </c>
      <c r="AC28" s="195">
        <v>3.47E-12</v>
      </c>
      <c r="AD28" s="195">
        <v>3.3000000000000001E-12</v>
      </c>
      <c r="AE28" s="195">
        <v>3.3000000000000001E-12</v>
      </c>
      <c r="AF28" s="195">
        <v>3.3000000000000001E-12</v>
      </c>
      <c r="AG28" s="195">
        <v>3.3000000000000001E-12</v>
      </c>
      <c r="AH28" s="195">
        <v>3.3000000000000001E-12</v>
      </c>
      <c r="AI28" s="195">
        <v>3.07E-12</v>
      </c>
      <c r="AJ28" s="195">
        <v>3.2599999999999998E-12</v>
      </c>
      <c r="AK28" s="195">
        <v>3.1300000000000002E-12</v>
      </c>
      <c r="AL28" s="195">
        <f t="shared" si="20"/>
        <v>1.1300813008130081E-14</v>
      </c>
      <c r="AM28" s="195">
        <f t="shared" si="21"/>
        <v>1.1229773462783172E-14</v>
      </c>
      <c r="AN28" s="195">
        <f t="shared" si="22"/>
        <v>1.1229773462783172E-14</v>
      </c>
      <c r="AO28" s="195">
        <f t="shared" si="23"/>
        <v>1.1262798634812287E-14</v>
      </c>
      <c r="AP28" s="195">
        <f t="shared" si="24"/>
        <v>1.1262798634812287E-14</v>
      </c>
      <c r="AQ28" s="195">
        <f t="shared" si="25"/>
        <v>1.1262798634812287E-14</v>
      </c>
      <c r="AR28" s="195">
        <f t="shared" si="26"/>
        <v>1.1262798634812287E-14</v>
      </c>
      <c r="AS28" s="195">
        <f t="shared" si="27"/>
        <v>1.1262798634812287E-14</v>
      </c>
      <c r="AT28" s="195">
        <f t="shared" si="28"/>
        <v>1.1245421245421245E-14</v>
      </c>
      <c r="AU28" s="195">
        <f t="shared" si="29"/>
        <v>1.1280276816608996E-14</v>
      </c>
      <c r="AV28" s="195">
        <f t="shared" si="30"/>
        <v>1.1258992805755396E-14</v>
      </c>
      <c r="AW28" s="194">
        <f t="shared" si="43"/>
        <v>1.1259913088685771E-14</v>
      </c>
      <c r="AX28" s="194" t="s">
        <v>988</v>
      </c>
      <c r="AY28" s="194"/>
      <c r="AZ28" s="194"/>
      <c r="BA28" s="194"/>
      <c r="BB28" s="194"/>
      <c r="BC28" s="194"/>
      <c r="BD28" s="194"/>
      <c r="BE28" s="194"/>
    </row>
    <row r="29" spans="1:57" ht="15" customHeight="1" x14ac:dyDescent="0.25">
      <c r="A29" s="279" t="s">
        <v>656</v>
      </c>
      <c r="B29" s="279" t="s">
        <v>702</v>
      </c>
      <c r="C29" s="278">
        <v>1.1900000000000001E-8</v>
      </c>
      <c r="D29" s="195">
        <v>1.3200000000000001E-8</v>
      </c>
      <c r="E29" s="195">
        <v>1.37E-8</v>
      </c>
      <c r="F29" s="195">
        <v>1.39E-8</v>
      </c>
      <c r="G29" s="195">
        <v>1.39E-8</v>
      </c>
      <c r="H29" s="195">
        <v>1.39E-8</v>
      </c>
      <c r="I29" s="195">
        <v>1.39E-8</v>
      </c>
      <c r="J29" s="195">
        <v>1.39E-8</v>
      </c>
      <c r="K29" s="195">
        <v>1.11E-8</v>
      </c>
      <c r="L29" s="195">
        <v>1.1900000000000001E-8</v>
      </c>
      <c r="M29" s="195">
        <v>1.28E-8</v>
      </c>
      <c r="N29" s="195">
        <f t="shared" si="31"/>
        <v>8.3216783216783225E-12</v>
      </c>
      <c r="O29" s="195">
        <f t="shared" si="32"/>
        <v>8.30188679245283E-12</v>
      </c>
      <c r="P29" s="195">
        <f t="shared" si="33"/>
        <v>8.3080654942389322E-12</v>
      </c>
      <c r="Q29" s="195">
        <f t="shared" si="34"/>
        <v>8.3483483483483484E-12</v>
      </c>
      <c r="R29" s="195">
        <f t="shared" si="35"/>
        <v>8.3483483483483484E-12</v>
      </c>
      <c r="S29" s="195">
        <f t="shared" si="36"/>
        <v>8.3483483483483484E-12</v>
      </c>
      <c r="T29" s="195">
        <f t="shared" si="37"/>
        <v>8.3483483483483484E-12</v>
      </c>
      <c r="U29" s="195">
        <f t="shared" si="38"/>
        <v>8.3483483483483484E-12</v>
      </c>
      <c r="V29" s="195">
        <f t="shared" si="39"/>
        <v>8.3333333333333336E-12</v>
      </c>
      <c r="W29" s="195">
        <f t="shared" si="40"/>
        <v>8.298465829846584E-12</v>
      </c>
      <c r="X29" s="195">
        <f t="shared" si="41"/>
        <v>8.3550913838120101E-12</v>
      </c>
      <c r="Y29" s="291">
        <f t="shared" si="44"/>
        <v>8.3327511724639784E-12</v>
      </c>
      <c r="Z29" s="325"/>
      <c r="AA29" s="278">
        <v>1.1800000000000001E-9</v>
      </c>
      <c r="AB29" s="195">
        <v>2.9499999999999999E-9</v>
      </c>
      <c r="AC29" s="195">
        <v>2.9499999999999999E-9</v>
      </c>
      <c r="AD29" s="195">
        <v>2.7999999999999998E-9</v>
      </c>
      <c r="AE29" s="195">
        <v>2.7999999999999998E-9</v>
      </c>
      <c r="AF29" s="195">
        <v>2.7999999999999998E-9</v>
      </c>
      <c r="AG29" s="195">
        <v>2.7999999999999998E-9</v>
      </c>
      <c r="AH29" s="195">
        <v>2.7999999999999998E-9</v>
      </c>
      <c r="AI29" s="195">
        <v>2.6099999999999999E-9</v>
      </c>
      <c r="AJ29" s="195">
        <v>2.76E-9</v>
      </c>
      <c r="AK29" s="195">
        <v>2.6500000000000002E-9</v>
      </c>
      <c r="AL29" s="195">
        <f t="shared" si="20"/>
        <v>9.5934959349593502E-12</v>
      </c>
      <c r="AM29" s="195">
        <f t="shared" si="21"/>
        <v>9.5469255663430414E-12</v>
      </c>
      <c r="AN29" s="195">
        <f t="shared" si="22"/>
        <v>9.5469255663430414E-12</v>
      </c>
      <c r="AO29" s="195">
        <f t="shared" si="23"/>
        <v>9.5563139931740607E-12</v>
      </c>
      <c r="AP29" s="195">
        <f t="shared" si="24"/>
        <v>9.5563139931740607E-12</v>
      </c>
      <c r="AQ29" s="195">
        <f t="shared" si="25"/>
        <v>9.5563139931740607E-12</v>
      </c>
      <c r="AR29" s="195">
        <f t="shared" si="26"/>
        <v>9.5563139931740607E-12</v>
      </c>
      <c r="AS29" s="195">
        <f t="shared" si="27"/>
        <v>9.5563139931740607E-12</v>
      </c>
      <c r="AT29" s="195">
        <f t="shared" si="28"/>
        <v>9.5604395604395595E-12</v>
      </c>
      <c r="AU29" s="195">
        <f t="shared" si="29"/>
        <v>9.5501730103806223E-12</v>
      </c>
      <c r="AV29" s="195">
        <f t="shared" si="30"/>
        <v>9.5323741007194246E-12</v>
      </c>
      <c r="AW29" s="291">
        <f t="shared" si="43"/>
        <v>9.5556276095504868E-12</v>
      </c>
      <c r="AX29" s="194"/>
      <c r="AY29" s="194"/>
      <c r="AZ29" s="194"/>
      <c r="BA29" s="194"/>
      <c r="BB29" s="194"/>
      <c r="BC29" s="194"/>
      <c r="BD29" s="194"/>
      <c r="BE29" s="194"/>
    </row>
    <row r="30" spans="1:57" ht="15" customHeight="1" x14ac:dyDescent="0.25">
      <c r="A30" s="279" t="s">
        <v>657</v>
      </c>
      <c r="B30" s="279"/>
      <c r="C30" s="278">
        <v>1.9399999999999999E-9</v>
      </c>
      <c r="D30" s="195">
        <v>2.16E-9</v>
      </c>
      <c r="E30" s="195">
        <v>2.2400000000000001E-9</v>
      </c>
      <c r="F30" s="195">
        <v>2.2600000000000001E-9</v>
      </c>
      <c r="G30" s="195">
        <v>2.2600000000000001E-9</v>
      </c>
      <c r="H30" s="195">
        <v>2.2600000000000001E-9</v>
      </c>
      <c r="I30" s="195">
        <v>2.2600000000000001E-9</v>
      </c>
      <c r="J30" s="195">
        <v>2.2600000000000001E-9</v>
      </c>
      <c r="K30" s="195">
        <v>1.81E-9</v>
      </c>
      <c r="L30" s="195">
        <v>1.9500000000000001E-9</v>
      </c>
      <c r="M30" s="195">
        <v>2.0799999999999998E-9</v>
      </c>
      <c r="N30" s="195">
        <f t="shared" si="31"/>
        <v>1.3566433566433566E-12</v>
      </c>
      <c r="O30" s="195">
        <f t="shared" si="32"/>
        <v>1.3584905660377359E-12</v>
      </c>
      <c r="P30" s="195">
        <f t="shared" si="33"/>
        <v>1.3583990297149788E-12</v>
      </c>
      <c r="Q30" s="195">
        <f t="shared" si="34"/>
        <v>1.3573573573573574E-12</v>
      </c>
      <c r="R30" s="195">
        <f t="shared" si="35"/>
        <v>1.3573573573573574E-12</v>
      </c>
      <c r="S30" s="195">
        <f t="shared" si="36"/>
        <v>1.3573573573573574E-12</v>
      </c>
      <c r="T30" s="195">
        <f t="shared" si="37"/>
        <v>1.3573573573573574E-12</v>
      </c>
      <c r="U30" s="195">
        <f t="shared" si="38"/>
        <v>1.3573573573573574E-12</v>
      </c>
      <c r="V30" s="195">
        <f t="shared" si="39"/>
        <v>1.3588588588588589E-12</v>
      </c>
      <c r="W30" s="195">
        <f t="shared" si="40"/>
        <v>1.3598326359832638E-12</v>
      </c>
      <c r="X30" s="195">
        <f t="shared" si="41"/>
        <v>1.3577023498694516E-12</v>
      </c>
      <c r="Y30" s="292">
        <f t="shared" si="44"/>
        <v>1.3578830530813122E-12</v>
      </c>
      <c r="Z30" s="355"/>
      <c r="AA30" s="278">
        <v>1.9300000000000001E-10</v>
      </c>
      <c r="AB30" s="195">
        <v>4.8399999999999998E-10</v>
      </c>
      <c r="AC30" s="195">
        <v>4.8399999999999998E-10</v>
      </c>
      <c r="AD30" s="195">
        <v>4.6000000000000001E-10</v>
      </c>
      <c r="AE30" s="195">
        <v>4.6000000000000001E-10</v>
      </c>
      <c r="AF30" s="195">
        <v>4.6000000000000001E-10</v>
      </c>
      <c r="AG30" s="195">
        <v>4.6000000000000001E-10</v>
      </c>
      <c r="AH30" s="195">
        <v>4.6000000000000001E-10</v>
      </c>
      <c r="AI30" s="195">
        <v>4.2900000000000002E-10</v>
      </c>
      <c r="AJ30" s="195">
        <v>4.5399999999999998E-10</v>
      </c>
      <c r="AK30" s="195">
        <v>4.3599999999999999E-10</v>
      </c>
      <c r="AL30" s="195">
        <f t="shared" si="20"/>
        <v>1.5691056910569107E-12</v>
      </c>
      <c r="AM30" s="195">
        <f t="shared" si="21"/>
        <v>1.5663430420711973E-12</v>
      </c>
      <c r="AN30" s="195">
        <f t="shared" si="22"/>
        <v>1.5663430420711973E-12</v>
      </c>
      <c r="AO30" s="195">
        <f t="shared" si="23"/>
        <v>1.5699658703071674E-12</v>
      </c>
      <c r="AP30" s="195">
        <f t="shared" si="24"/>
        <v>1.5699658703071674E-12</v>
      </c>
      <c r="AQ30" s="195">
        <f t="shared" si="25"/>
        <v>1.5699658703071674E-12</v>
      </c>
      <c r="AR30" s="195">
        <f t="shared" si="26"/>
        <v>1.5699658703071674E-12</v>
      </c>
      <c r="AS30" s="195">
        <f t="shared" si="27"/>
        <v>1.5699658703071674E-12</v>
      </c>
      <c r="AT30" s="195">
        <f t="shared" si="28"/>
        <v>1.5714285714285715E-12</v>
      </c>
      <c r="AU30" s="195">
        <f t="shared" si="29"/>
        <v>1.5709342560553632E-12</v>
      </c>
      <c r="AV30" s="195">
        <f t="shared" si="30"/>
        <v>1.5683453237410071E-12</v>
      </c>
      <c r="AW30" s="292">
        <f t="shared" si="43"/>
        <v>1.5693026616327346E-12</v>
      </c>
      <c r="AX30" s="194"/>
      <c r="AY30" s="194"/>
      <c r="AZ30" s="194"/>
      <c r="BA30" s="194"/>
      <c r="BB30" s="194"/>
      <c r="BC30" s="194"/>
      <c r="BD30" s="194"/>
      <c r="BE30" s="194"/>
    </row>
    <row r="31" spans="1:57" ht="15" customHeight="1" x14ac:dyDescent="0.25">
      <c r="A31" s="279" t="s">
        <v>658</v>
      </c>
      <c r="B31" s="279" t="s">
        <v>703</v>
      </c>
      <c r="C31" s="278">
        <v>2.5100000000000001E-10</v>
      </c>
      <c r="D31" s="195">
        <v>2.7900000000000002E-10</v>
      </c>
      <c r="E31" s="195">
        <v>2.8899999999999998E-10</v>
      </c>
      <c r="F31" s="195">
        <v>2.9200000000000003E-10</v>
      </c>
      <c r="G31" s="195">
        <v>2.9200000000000003E-10</v>
      </c>
      <c r="H31" s="195">
        <v>2.9200000000000003E-10</v>
      </c>
      <c r="I31" s="195">
        <v>2.9200000000000003E-10</v>
      </c>
      <c r="J31" s="195">
        <v>2.9200000000000003E-10</v>
      </c>
      <c r="K31" s="195">
        <v>2.3300000000000002E-10</v>
      </c>
      <c r="L31" s="195">
        <v>2.5100000000000001E-10</v>
      </c>
      <c r="M31" s="195">
        <v>2.69E-10</v>
      </c>
      <c r="N31" s="195">
        <f t="shared" si="31"/>
        <v>1.7552447552447553E-13</v>
      </c>
      <c r="O31" s="195">
        <f t="shared" si="32"/>
        <v>1.7547169811320757E-13</v>
      </c>
      <c r="P31" s="195">
        <f t="shared" si="33"/>
        <v>1.7525773195876288E-13</v>
      </c>
      <c r="Q31" s="195">
        <f t="shared" si="34"/>
        <v>1.753753753753754E-13</v>
      </c>
      <c r="R31" s="195">
        <f t="shared" si="35"/>
        <v>1.753753753753754E-13</v>
      </c>
      <c r="S31" s="195">
        <f t="shared" si="36"/>
        <v>1.753753753753754E-13</v>
      </c>
      <c r="T31" s="195">
        <f t="shared" si="37"/>
        <v>1.753753753753754E-13</v>
      </c>
      <c r="U31" s="195">
        <f t="shared" si="38"/>
        <v>1.753753753753754E-13</v>
      </c>
      <c r="V31" s="195">
        <f t="shared" si="39"/>
        <v>1.7492492492492494E-13</v>
      </c>
      <c r="W31" s="195">
        <f t="shared" si="40"/>
        <v>1.7503486750348675E-13</v>
      </c>
      <c r="X31" s="195">
        <f t="shared" si="41"/>
        <v>1.7558746736292428E-13</v>
      </c>
      <c r="Y31" s="291">
        <f t="shared" si="44"/>
        <v>1.7533436747860534E-13</v>
      </c>
      <c r="Z31" s="325"/>
      <c r="AA31" s="278">
        <v>2.4800000000000001E-11</v>
      </c>
      <c r="AB31" s="195">
        <v>6.2099999999999998E-11</v>
      </c>
      <c r="AC31" s="195">
        <v>6.2099999999999998E-11</v>
      </c>
      <c r="AD31" s="195">
        <v>5.9000000000000003E-11</v>
      </c>
      <c r="AE31" s="195">
        <v>5.9000000000000003E-11</v>
      </c>
      <c r="AF31" s="195">
        <v>5.9000000000000003E-11</v>
      </c>
      <c r="AG31" s="195">
        <v>5.9000000000000003E-11</v>
      </c>
      <c r="AH31" s="195">
        <v>5.9000000000000003E-11</v>
      </c>
      <c r="AI31" s="195">
        <v>5.4899999999999999E-11</v>
      </c>
      <c r="AJ31" s="195">
        <v>5.8200000000000003E-11</v>
      </c>
      <c r="AK31" s="195">
        <v>5.5900000000000002E-11</v>
      </c>
      <c r="AL31" s="195">
        <f t="shared" si="20"/>
        <v>2.0162601626016262E-13</v>
      </c>
      <c r="AM31" s="195">
        <f t="shared" si="21"/>
        <v>2.0097087378640775E-13</v>
      </c>
      <c r="AN31" s="195">
        <f t="shared" si="22"/>
        <v>2.0097087378640775E-13</v>
      </c>
      <c r="AO31" s="195">
        <f t="shared" si="23"/>
        <v>2.0136518771331059E-13</v>
      </c>
      <c r="AP31" s="195">
        <f t="shared" si="24"/>
        <v>2.0136518771331059E-13</v>
      </c>
      <c r="AQ31" s="195">
        <f t="shared" si="25"/>
        <v>2.0136518771331059E-13</v>
      </c>
      <c r="AR31" s="195">
        <f t="shared" si="26"/>
        <v>2.0136518771331059E-13</v>
      </c>
      <c r="AS31" s="195">
        <f t="shared" si="27"/>
        <v>2.0136518771331059E-13</v>
      </c>
      <c r="AT31" s="195">
        <f t="shared" si="28"/>
        <v>2.0109890109890111E-13</v>
      </c>
      <c r="AU31" s="195">
        <f t="shared" si="29"/>
        <v>2.0138408304498272E-13</v>
      </c>
      <c r="AV31" s="195">
        <f t="shared" si="30"/>
        <v>2.0107913669064749E-13</v>
      </c>
      <c r="AW31" s="291">
        <f t="shared" si="43"/>
        <v>2.0126871120309662E-13</v>
      </c>
      <c r="AX31" s="194"/>
      <c r="AY31" s="194"/>
      <c r="AZ31" s="194"/>
      <c r="BA31" s="194"/>
      <c r="BB31" s="194"/>
      <c r="BC31" s="194"/>
      <c r="BD31" s="194"/>
      <c r="BE31" s="194"/>
    </row>
    <row r="32" spans="1:57" ht="15" customHeight="1" x14ac:dyDescent="0.25">
      <c r="A32" s="279" t="s">
        <v>659</v>
      </c>
      <c r="B32" s="279" t="s">
        <v>704</v>
      </c>
      <c r="C32" s="278">
        <v>3.5899999999999998E-9</v>
      </c>
      <c r="D32" s="195">
        <v>3.9899999999999997E-9</v>
      </c>
      <c r="E32" s="195">
        <v>4.1400000000000002E-9</v>
      </c>
      <c r="F32" s="195">
        <v>4.18E-9</v>
      </c>
      <c r="G32" s="195">
        <v>4.18E-9</v>
      </c>
      <c r="H32" s="195">
        <v>4.18E-9</v>
      </c>
      <c r="I32" s="195">
        <v>4.18E-9</v>
      </c>
      <c r="J32" s="195">
        <v>4.18E-9</v>
      </c>
      <c r="K32" s="195">
        <v>3.34E-9</v>
      </c>
      <c r="L32" s="195">
        <v>3.6E-9</v>
      </c>
      <c r="M32" s="195">
        <v>3.84E-9</v>
      </c>
      <c r="N32" s="195">
        <f t="shared" si="31"/>
        <v>2.5104895104895103E-12</v>
      </c>
      <c r="O32" s="195">
        <f t="shared" si="32"/>
        <v>2.5094339622641505E-12</v>
      </c>
      <c r="P32" s="195">
        <f t="shared" si="33"/>
        <v>2.5106124924196484E-12</v>
      </c>
      <c r="Q32" s="195">
        <f t="shared" si="34"/>
        <v>2.5105105105105105E-12</v>
      </c>
      <c r="R32" s="195">
        <f t="shared" si="35"/>
        <v>2.5105105105105105E-12</v>
      </c>
      <c r="S32" s="195">
        <f t="shared" si="36"/>
        <v>2.5105105105105105E-12</v>
      </c>
      <c r="T32" s="195">
        <f t="shared" si="37"/>
        <v>2.5105105105105105E-12</v>
      </c>
      <c r="U32" s="195">
        <f t="shared" si="38"/>
        <v>2.5105105105105105E-12</v>
      </c>
      <c r="V32" s="195">
        <f t="shared" si="39"/>
        <v>2.5075075075075077E-12</v>
      </c>
      <c r="W32" s="195">
        <f t="shared" si="40"/>
        <v>2.5104602510460251E-12</v>
      </c>
      <c r="X32" s="195">
        <f t="shared" si="41"/>
        <v>2.5065274151436029E-12</v>
      </c>
      <c r="Y32" s="291">
        <f t="shared" si="44"/>
        <v>2.5097803355839092E-12</v>
      </c>
      <c r="Z32" s="325"/>
      <c r="AA32" s="278">
        <v>3.5400000000000002E-10</v>
      </c>
      <c r="AB32" s="195">
        <v>8.8900000000000003E-10</v>
      </c>
      <c r="AC32" s="195">
        <v>8.8900000000000003E-10</v>
      </c>
      <c r="AD32" s="195">
        <v>8.4399999999999998E-10</v>
      </c>
      <c r="AE32" s="195">
        <v>8.4399999999999998E-10</v>
      </c>
      <c r="AF32" s="195">
        <v>8.4399999999999998E-10</v>
      </c>
      <c r="AG32" s="195">
        <v>8.4399999999999998E-10</v>
      </c>
      <c r="AH32" s="195">
        <v>8.4399999999999998E-10</v>
      </c>
      <c r="AI32" s="195">
        <v>7.8699999999999997E-10</v>
      </c>
      <c r="AJ32" s="195">
        <v>8.3300000000000002E-10</v>
      </c>
      <c r="AK32" s="195">
        <v>8.0000000000000003E-10</v>
      </c>
      <c r="AL32" s="195">
        <f t="shared" si="20"/>
        <v>2.8780487804878049E-12</v>
      </c>
      <c r="AM32" s="195">
        <f t="shared" si="21"/>
        <v>2.8770226537216828E-12</v>
      </c>
      <c r="AN32" s="195">
        <f t="shared" si="22"/>
        <v>2.8770226537216828E-12</v>
      </c>
      <c r="AO32" s="195">
        <f t="shared" si="23"/>
        <v>2.880546075085324E-12</v>
      </c>
      <c r="AP32" s="195">
        <f t="shared" si="24"/>
        <v>2.880546075085324E-12</v>
      </c>
      <c r="AQ32" s="195">
        <f t="shared" si="25"/>
        <v>2.880546075085324E-12</v>
      </c>
      <c r="AR32" s="195">
        <f t="shared" si="26"/>
        <v>2.880546075085324E-12</v>
      </c>
      <c r="AS32" s="195">
        <f t="shared" si="27"/>
        <v>2.880546075085324E-12</v>
      </c>
      <c r="AT32" s="195">
        <f t="shared" si="28"/>
        <v>2.8827838827838828E-12</v>
      </c>
      <c r="AU32" s="195">
        <f t="shared" si="29"/>
        <v>2.8823529411764707E-12</v>
      </c>
      <c r="AV32" s="195">
        <f t="shared" si="30"/>
        <v>2.8776978417266188E-12</v>
      </c>
      <c r="AW32" s="291">
        <f t="shared" si="43"/>
        <v>2.8797871935495234E-12</v>
      </c>
      <c r="AX32" s="194"/>
      <c r="AY32" s="194"/>
      <c r="AZ32" s="194"/>
      <c r="BA32" s="194"/>
      <c r="BB32" s="194"/>
      <c r="BC32" s="194"/>
      <c r="BD32" s="194"/>
      <c r="BE32" s="194"/>
    </row>
    <row r="33" spans="1:57" ht="15" customHeight="1" x14ac:dyDescent="0.25">
      <c r="A33" s="279" t="s">
        <v>574</v>
      </c>
      <c r="B33" s="279" t="s">
        <v>705</v>
      </c>
      <c r="C33" s="278">
        <v>1.3</v>
      </c>
      <c r="D33" s="195">
        <v>1.45</v>
      </c>
      <c r="E33" s="195">
        <v>1.5</v>
      </c>
      <c r="F33" s="195">
        <v>1.52</v>
      </c>
      <c r="G33" s="195">
        <v>1.52</v>
      </c>
      <c r="H33" s="195">
        <v>1.52</v>
      </c>
      <c r="I33" s="195">
        <v>1.52</v>
      </c>
      <c r="J33" s="195">
        <v>1.52</v>
      </c>
      <c r="K33" s="195">
        <v>1.21</v>
      </c>
      <c r="L33" s="195">
        <v>1.31</v>
      </c>
      <c r="M33" s="195">
        <v>1.4</v>
      </c>
      <c r="N33" s="195">
        <f t="shared" si="31"/>
        <v>9.0909090909090909E-4</v>
      </c>
      <c r="O33" s="195">
        <f t="shared" si="32"/>
        <v>9.1194968553459112E-4</v>
      </c>
      <c r="P33" s="195">
        <f t="shared" si="33"/>
        <v>9.0964220739842331E-4</v>
      </c>
      <c r="Q33" s="195">
        <f t="shared" si="34"/>
        <v>9.129129129129129E-4</v>
      </c>
      <c r="R33" s="195">
        <f t="shared" si="35"/>
        <v>9.129129129129129E-4</v>
      </c>
      <c r="S33" s="195">
        <f t="shared" si="36"/>
        <v>9.129129129129129E-4</v>
      </c>
      <c r="T33" s="195">
        <f t="shared" si="37"/>
        <v>9.129129129129129E-4</v>
      </c>
      <c r="U33" s="195">
        <f t="shared" si="38"/>
        <v>9.129129129129129E-4</v>
      </c>
      <c r="V33" s="195">
        <f t="shared" si="39"/>
        <v>9.0840840840840842E-4</v>
      </c>
      <c r="W33" s="195">
        <f t="shared" si="40"/>
        <v>9.1352859135285919E-4</v>
      </c>
      <c r="X33" s="195">
        <f t="shared" si="41"/>
        <v>9.1383812010443859E-4</v>
      </c>
      <c r="Y33" s="291">
        <f t="shared" si="44"/>
        <v>9.1191113513219954E-4</v>
      </c>
      <c r="Z33" s="325"/>
      <c r="AA33" s="278">
        <v>0.17499999999999999</v>
      </c>
      <c r="AB33" s="195">
        <v>0.44</v>
      </c>
      <c r="AC33" s="195">
        <v>0.44</v>
      </c>
      <c r="AD33" s="195">
        <v>0.41799999999999998</v>
      </c>
      <c r="AE33" s="195">
        <v>0.41799999999999998</v>
      </c>
      <c r="AF33" s="195">
        <v>0.41799999999999998</v>
      </c>
      <c r="AG33" s="195">
        <v>0.41799999999999998</v>
      </c>
      <c r="AH33" s="195">
        <v>0.41799999999999998</v>
      </c>
      <c r="AI33" s="195">
        <v>0.38900000000000001</v>
      </c>
      <c r="AJ33" s="195">
        <v>0.41299999999999998</v>
      </c>
      <c r="AK33" s="195">
        <v>0.39600000000000002</v>
      </c>
      <c r="AL33" s="195">
        <f t="shared" si="20"/>
        <v>1.4227642276422763E-3</v>
      </c>
      <c r="AM33" s="195">
        <f t="shared" si="21"/>
        <v>1.4239482200647249E-3</v>
      </c>
      <c r="AN33" s="195">
        <f t="shared" si="22"/>
        <v>1.4239482200647249E-3</v>
      </c>
      <c r="AO33" s="195">
        <f t="shared" si="23"/>
        <v>1.4266211604095562E-3</v>
      </c>
      <c r="AP33" s="195">
        <f t="shared" si="24"/>
        <v>1.4266211604095562E-3</v>
      </c>
      <c r="AQ33" s="195">
        <f t="shared" si="25"/>
        <v>1.4266211604095562E-3</v>
      </c>
      <c r="AR33" s="195">
        <f t="shared" si="26"/>
        <v>1.4266211604095562E-3</v>
      </c>
      <c r="AS33" s="195">
        <f t="shared" si="27"/>
        <v>1.4266211604095562E-3</v>
      </c>
      <c r="AT33" s="195">
        <f t="shared" si="28"/>
        <v>1.424908424908425E-3</v>
      </c>
      <c r="AU33" s="195">
        <f t="shared" si="29"/>
        <v>1.4290657439446366E-3</v>
      </c>
      <c r="AV33" s="195">
        <f t="shared" si="30"/>
        <v>1.4244604316546764E-3</v>
      </c>
      <c r="AW33" s="291">
        <f t="shared" si="43"/>
        <v>1.4256546427570225E-3</v>
      </c>
      <c r="AX33" s="194"/>
      <c r="AY33" s="194"/>
      <c r="AZ33" s="194"/>
      <c r="BA33" s="194"/>
      <c r="BB33" s="194"/>
      <c r="BC33" s="194"/>
      <c r="BD33" s="194"/>
      <c r="BE33" s="194"/>
    </row>
    <row r="34" spans="1:57" ht="15" customHeight="1" x14ac:dyDescent="0.25">
      <c r="A34" s="279" t="s">
        <v>572</v>
      </c>
      <c r="B34" s="279"/>
      <c r="C34" s="278">
        <v>1.3</v>
      </c>
      <c r="D34" s="195">
        <v>1.45</v>
      </c>
      <c r="E34" s="195">
        <v>1.5</v>
      </c>
      <c r="F34" s="195">
        <v>1.52</v>
      </c>
      <c r="G34" s="195">
        <v>1.52</v>
      </c>
      <c r="H34" s="195">
        <v>1.52</v>
      </c>
      <c r="I34" s="195">
        <v>1.52</v>
      </c>
      <c r="J34" s="195">
        <v>1.52</v>
      </c>
      <c r="K34" s="195">
        <v>1.21</v>
      </c>
      <c r="L34" s="195">
        <v>1.31</v>
      </c>
      <c r="M34" s="195">
        <v>1.4</v>
      </c>
      <c r="N34" s="195">
        <f t="shared" si="31"/>
        <v>9.0909090909090909E-4</v>
      </c>
      <c r="O34" s="195">
        <f t="shared" si="32"/>
        <v>9.1194968553459112E-4</v>
      </c>
      <c r="P34" s="195">
        <f t="shared" si="33"/>
        <v>9.0964220739842331E-4</v>
      </c>
      <c r="Q34" s="195">
        <f t="shared" si="34"/>
        <v>9.129129129129129E-4</v>
      </c>
      <c r="R34" s="195">
        <f t="shared" si="35"/>
        <v>9.129129129129129E-4</v>
      </c>
      <c r="S34" s="195">
        <f t="shared" si="36"/>
        <v>9.129129129129129E-4</v>
      </c>
      <c r="T34" s="195">
        <f t="shared" si="37"/>
        <v>9.129129129129129E-4</v>
      </c>
      <c r="U34" s="195">
        <f t="shared" si="38"/>
        <v>9.129129129129129E-4</v>
      </c>
      <c r="V34" s="195">
        <f t="shared" si="39"/>
        <v>9.0840840840840842E-4</v>
      </c>
      <c r="W34" s="195">
        <f t="shared" si="40"/>
        <v>9.1352859135285919E-4</v>
      </c>
      <c r="X34" s="195">
        <f t="shared" si="41"/>
        <v>9.1383812010443859E-4</v>
      </c>
      <c r="Y34" s="292">
        <f t="shared" si="44"/>
        <v>9.1191113513219954E-4</v>
      </c>
      <c r="Z34" s="355"/>
      <c r="AA34" s="278">
        <v>0.17499999999999999</v>
      </c>
      <c r="AB34" s="195">
        <v>0.44</v>
      </c>
      <c r="AC34" s="195">
        <v>0.44</v>
      </c>
      <c r="AD34" s="195">
        <v>0.41799999999999998</v>
      </c>
      <c r="AE34" s="195">
        <v>0.41799999999999998</v>
      </c>
      <c r="AF34" s="195">
        <v>0.41799999999999998</v>
      </c>
      <c r="AG34" s="195">
        <v>0.41799999999999998</v>
      </c>
      <c r="AH34" s="195">
        <v>0.41799999999999998</v>
      </c>
      <c r="AI34" s="195">
        <v>0.38900000000000001</v>
      </c>
      <c r="AJ34" s="195">
        <v>0.41299999999999998</v>
      </c>
      <c r="AK34" s="195">
        <v>0.39600000000000002</v>
      </c>
      <c r="AL34" s="195">
        <f t="shared" si="20"/>
        <v>1.4227642276422763E-3</v>
      </c>
      <c r="AM34" s="195">
        <f t="shared" si="21"/>
        <v>1.4239482200647249E-3</v>
      </c>
      <c r="AN34" s="195">
        <f t="shared" si="22"/>
        <v>1.4239482200647249E-3</v>
      </c>
      <c r="AO34" s="195">
        <f t="shared" si="23"/>
        <v>1.4266211604095562E-3</v>
      </c>
      <c r="AP34" s="195">
        <f t="shared" si="24"/>
        <v>1.4266211604095562E-3</v>
      </c>
      <c r="AQ34" s="195">
        <f t="shared" si="25"/>
        <v>1.4266211604095562E-3</v>
      </c>
      <c r="AR34" s="195">
        <f t="shared" si="26"/>
        <v>1.4266211604095562E-3</v>
      </c>
      <c r="AS34" s="195">
        <f t="shared" si="27"/>
        <v>1.4266211604095562E-3</v>
      </c>
      <c r="AT34" s="195">
        <f t="shared" si="28"/>
        <v>1.424908424908425E-3</v>
      </c>
      <c r="AU34" s="195">
        <f t="shared" si="29"/>
        <v>1.4290657439446366E-3</v>
      </c>
      <c r="AV34" s="195">
        <f t="shared" si="30"/>
        <v>1.4244604316546764E-3</v>
      </c>
      <c r="AW34" s="292">
        <f t="shared" si="43"/>
        <v>1.4256546427570225E-3</v>
      </c>
      <c r="AX34" s="194"/>
      <c r="AY34" s="194"/>
      <c r="AZ34" s="194"/>
      <c r="BA34" s="194"/>
      <c r="BB34" s="194"/>
      <c r="BC34" s="194"/>
      <c r="BD34" s="194"/>
      <c r="BE34" s="194"/>
    </row>
    <row r="35" spans="1:57" ht="15" customHeight="1" x14ac:dyDescent="0.25">
      <c r="A35" s="279" t="s">
        <v>571</v>
      </c>
      <c r="B35" s="279" t="s">
        <v>706</v>
      </c>
      <c r="C35" s="278">
        <v>2.7799999999999999E-3</v>
      </c>
      <c r="D35" s="195">
        <v>3.0899999999999999E-3</v>
      </c>
      <c r="E35" s="195">
        <v>3.2100000000000002E-3</v>
      </c>
      <c r="F35" s="195">
        <v>3.2399999999999998E-3</v>
      </c>
      <c r="G35" s="195">
        <v>3.2399999999999998E-3</v>
      </c>
      <c r="H35" s="195">
        <v>3.2399999999999998E-3</v>
      </c>
      <c r="I35" s="195">
        <v>3.2399999999999998E-3</v>
      </c>
      <c r="J35" s="195">
        <v>3.2399999999999998E-3</v>
      </c>
      <c r="K35" s="195">
        <v>2.5899999999999999E-3</v>
      </c>
      <c r="L35" s="195">
        <v>2.7899999999999999E-3</v>
      </c>
      <c r="M35" s="195">
        <v>2.98E-3</v>
      </c>
      <c r="N35" s="195">
        <f t="shared" si="31"/>
        <v>1.944055944055944E-6</v>
      </c>
      <c r="O35" s="195">
        <f t="shared" si="32"/>
        <v>1.9433962264150944E-6</v>
      </c>
      <c r="P35" s="195">
        <f t="shared" si="33"/>
        <v>1.946634323832626E-6</v>
      </c>
      <c r="Q35" s="195">
        <f t="shared" si="34"/>
        <v>1.9459459459459456E-6</v>
      </c>
      <c r="R35" s="195">
        <f t="shared" si="35"/>
        <v>1.9459459459459456E-6</v>
      </c>
      <c r="S35" s="195">
        <f t="shared" si="36"/>
        <v>1.9459459459459456E-6</v>
      </c>
      <c r="T35" s="195">
        <f t="shared" si="37"/>
        <v>1.9459459459459456E-6</v>
      </c>
      <c r="U35" s="195">
        <f t="shared" si="38"/>
        <v>1.9459459459459456E-6</v>
      </c>
      <c r="V35" s="195">
        <f t="shared" si="39"/>
        <v>1.9444444444444444E-6</v>
      </c>
      <c r="W35" s="195">
        <f t="shared" si="40"/>
        <v>1.9456066945606693E-6</v>
      </c>
      <c r="X35" s="195">
        <f t="shared" si="41"/>
        <v>1.9451697127937337E-6</v>
      </c>
      <c r="Y35" s="291">
        <f t="shared" si="44"/>
        <v>1.94536700689384E-6</v>
      </c>
      <c r="Z35" s="325"/>
      <c r="AA35" s="278">
        <v>4.0200000000000001E-4</v>
      </c>
      <c r="AB35" s="195">
        <v>1.01E-3</v>
      </c>
      <c r="AC35" s="195">
        <v>1.01E-3</v>
      </c>
      <c r="AD35" s="195">
        <v>9.59E-4</v>
      </c>
      <c r="AE35" s="195">
        <v>9.59E-4</v>
      </c>
      <c r="AF35" s="195">
        <v>9.59E-4</v>
      </c>
      <c r="AG35" s="195">
        <v>9.59E-4</v>
      </c>
      <c r="AH35" s="195">
        <v>9.59E-4</v>
      </c>
      <c r="AI35" s="195">
        <v>8.9300000000000002E-4</v>
      </c>
      <c r="AJ35" s="195">
        <v>9.4600000000000001E-4</v>
      </c>
      <c r="AK35" s="195">
        <v>9.0799999999999995E-4</v>
      </c>
      <c r="AL35" s="195">
        <f t="shared" si="20"/>
        <v>3.2682926829268294E-6</v>
      </c>
      <c r="AM35" s="195">
        <f t="shared" si="21"/>
        <v>3.2686084142394822E-6</v>
      </c>
      <c r="AN35" s="195">
        <f t="shared" si="22"/>
        <v>3.2686084142394822E-6</v>
      </c>
      <c r="AO35" s="195">
        <f t="shared" si="23"/>
        <v>3.2730375426621162E-6</v>
      </c>
      <c r="AP35" s="195">
        <f t="shared" si="24"/>
        <v>3.2730375426621162E-6</v>
      </c>
      <c r="AQ35" s="195">
        <f t="shared" si="25"/>
        <v>3.2730375426621162E-6</v>
      </c>
      <c r="AR35" s="195">
        <f t="shared" si="26"/>
        <v>3.2730375426621162E-6</v>
      </c>
      <c r="AS35" s="195">
        <f t="shared" si="27"/>
        <v>3.2730375426621162E-6</v>
      </c>
      <c r="AT35" s="195">
        <f t="shared" si="28"/>
        <v>3.2710622710622713E-6</v>
      </c>
      <c r="AU35" s="195">
        <f t="shared" si="29"/>
        <v>3.2733564013840833E-6</v>
      </c>
      <c r="AV35" s="195">
        <f t="shared" si="30"/>
        <v>3.266187050359712E-6</v>
      </c>
      <c r="AW35" s="291">
        <f t="shared" si="43"/>
        <v>3.2710275406838585E-6</v>
      </c>
      <c r="AX35" s="194"/>
      <c r="AY35" s="194"/>
      <c r="AZ35" s="194"/>
      <c r="BA35" s="194"/>
      <c r="BB35" s="194"/>
      <c r="BC35" s="194"/>
      <c r="BD35" s="194"/>
      <c r="BE35" s="194"/>
    </row>
    <row r="36" spans="1:57" ht="15" customHeight="1" x14ac:dyDescent="0.25">
      <c r="A36" s="279" t="s">
        <v>660</v>
      </c>
      <c r="B36" s="279" t="s">
        <v>707</v>
      </c>
      <c r="C36" s="278">
        <v>7.6299999999999995E-9</v>
      </c>
      <c r="D36" s="195">
        <v>8.4700000000000007E-9</v>
      </c>
      <c r="E36" s="195">
        <v>8.7899999999999996E-9</v>
      </c>
      <c r="F36" s="195">
        <v>8.8699999999999994E-9</v>
      </c>
      <c r="G36" s="195">
        <v>8.8699999999999994E-9</v>
      </c>
      <c r="H36" s="195">
        <v>8.8699999999999994E-9</v>
      </c>
      <c r="I36" s="195">
        <v>8.8699999999999994E-9</v>
      </c>
      <c r="J36" s="195">
        <v>8.8699999999999994E-9</v>
      </c>
      <c r="K36" s="195">
        <v>7.0999999999999999E-9</v>
      </c>
      <c r="L36" s="195">
        <v>7.6399999999999993E-9</v>
      </c>
      <c r="M36" s="195">
        <v>8.1599999999999999E-9</v>
      </c>
      <c r="N36" s="195">
        <f t="shared" si="31"/>
        <v>5.3356643356643356E-12</v>
      </c>
      <c r="O36" s="195">
        <f t="shared" si="32"/>
        <v>5.3270440251572328E-12</v>
      </c>
      <c r="P36" s="195">
        <f t="shared" si="33"/>
        <v>5.3305033353547599E-12</v>
      </c>
      <c r="Q36" s="195">
        <f t="shared" si="34"/>
        <v>5.3273273273273269E-12</v>
      </c>
      <c r="R36" s="195">
        <f t="shared" si="35"/>
        <v>5.3273273273273269E-12</v>
      </c>
      <c r="S36" s="195">
        <f t="shared" si="36"/>
        <v>5.3273273273273269E-12</v>
      </c>
      <c r="T36" s="195">
        <f t="shared" si="37"/>
        <v>5.3273273273273269E-12</v>
      </c>
      <c r="U36" s="195">
        <f t="shared" si="38"/>
        <v>5.3273273273273269E-12</v>
      </c>
      <c r="V36" s="195">
        <f t="shared" si="39"/>
        <v>5.3303303303303302E-12</v>
      </c>
      <c r="W36" s="195">
        <f t="shared" si="40"/>
        <v>5.3277545327754529E-12</v>
      </c>
      <c r="X36" s="195">
        <f t="shared" si="41"/>
        <v>5.3263707571801568E-12</v>
      </c>
      <c r="Y36" s="291">
        <f t="shared" si="44"/>
        <v>5.3285730866453552E-12</v>
      </c>
      <c r="Z36" s="325"/>
      <c r="AA36" s="278">
        <v>7.5199999999999999E-10</v>
      </c>
      <c r="AB36" s="195">
        <v>1.8899999999999999E-9</v>
      </c>
      <c r="AC36" s="195">
        <v>1.8899999999999999E-9</v>
      </c>
      <c r="AD36" s="195">
        <v>1.79E-9</v>
      </c>
      <c r="AE36" s="195">
        <v>1.79E-9</v>
      </c>
      <c r="AF36" s="195">
        <v>1.79E-9</v>
      </c>
      <c r="AG36" s="195">
        <v>1.79E-9</v>
      </c>
      <c r="AH36" s="195">
        <v>1.79E-9</v>
      </c>
      <c r="AI36" s="195">
        <v>1.67E-9</v>
      </c>
      <c r="AJ36" s="195">
        <v>1.7700000000000001E-9</v>
      </c>
      <c r="AK36" s="195">
        <v>1.6999999999999999E-9</v>
      </c>
      <c r="AL36" s="195">
        <f t="shared" si="20"/>
        <v>6.1138211382113823E-12</v>
      </c>
      <c r="AM36" s="195">
        <f t="shared" si="21"/>
        <v>6.1165048543689313E-12</v>
      </c>
      <c r="AN36" s="195">
        <f t="shared" si="22"/>
        <v>6.1165048543689313E-12</v>
      </c>
      <c r="AO36" s="195">
        <f t="shared" si="23"/>
        <v>6.1092150170648463E-12</v>
      </c>
      <c r="AP36" s="195">
        <f t="shared" si="24"/>
        <v>6.1092150170648463E-12</v>
      </c>
      <c r="AQ36" s="195">
        <f t="shared" si="25"/>
        <v>6.1092150170648463E-12</v>
      </c>
      <c r="AR36" s="195">
        <f t="shared" si="26"/>
        <v>6.1092150170648463E-12</v>
      </c>
      <c r="AS36" s="195">
        <f t="shared" si="27"/>
        <v>6.1092150170648463E-12</v>
      </c>
      <c r="AT36" s="195">
        <f t="shared" si="28"/>
        <v>6.1172161172161176E-12</v>
      </c>
      <c r="AU36" s="195">
        <f t="shared" si="29"/>
        <v>6.1245674740484432E-12</v>
      </c>
      <c r="AV36" s="195">
        <f t="shared" si="30"/>
        <v>6.1151079136690641E-12</v>
      </c>
      <c r="AW36" s="291">
        <f t="shared" si="43"/>
        <v>6.1136179488370083E-12</v>
      </c>
      <c r="AX36" s="194"/>
      <c r="AY36" s="194"/>
      <c r="AZ36" s="194"/>
      <c r="BA36" s="194"/>
      <c r="BB36" s="194"/>
      <c r="BC36" s="194"/>
      <c r="BD36" s="194"/>
      <c r="BE36" s="194"/>
    </row>
    <row r="37" spans="1:57" ht="15" customHeight="1" x14ac:dyDescent="0.25">
      <c r="A37" s="279" t="s">
        <v>661</v>
      </c>
      <c r="B37" s="279" t="s">
        <v>708</v>
      </c>
      <c r="C37" s="278">
        <v>5.4300000000000003E-8</v>
      </c>
      <c r="D37" s="195">
        <v>6.0399999999999998E-8</v>
      </c>
      <c r="E37" s="195">
        <v>6.2600000000000005E-8</v>
      </c>
      <c r="F37" s="195">
        <v>6.3199999999999997E-8</v>
      </c>
      <c r="G37" s="195">
        <v>6.3199999999999997E-8</v>
      </c>
      <c r="H37" s="195">
        <v>6.3199999999999997E-8</v>
      </c>
      <c r="I37" s="195">
        <v>6.3199999999999997E-8</v>
      </c>
      <c r="J37" s="195">
        <v>6.3199999999999997E-8</v>
      </c>
      <c r="K37" s="195">
        <v>5.0600000000000003E-8</v>
      </c>
      <c r="L37" s="195">
        <v>5.4399999999999997E-8</v>
      </c>
      <c r="M37" s="195">
        <v>5.8099999999999997E-8</v>
      </c>
      <c r="N37" s="195">
        <f t="shared" si="31"/>
        <v>3.7972027972027977E-11</v>
      </c>
      <c r="O37" s="195">
        <f t="shared" si="32"/>
        <v>3.7987421383647797E-11</v>
      </c>
      <c r="P37" s="195">
        <f t="shared" si="33"/>
        <v>3.7962401455427532E-11</v>
      </c>
      <c r="Q37" s="195">
        <f t="shared" si="34"/>
        <v>3.7957957957957959E-11</v>
      </c>
      <c r="R37" s="195">
        <f t="shared" si="35"/>
        <v>3.7957957957957959E-11</v>
      </c>
      <c r="S37" s="195">
        <f t="shared" si="36"/>
        <v>3.7957957957957959E-11</v>
      </c>
      <c r="T37" s="195">
        <f t="shared" si="37"/>
        <v>3.7957957957957959E-11</v>
      </c>
      <c r="U37" s="195">
        <f t="shared" si="38"/>
        <v>3.7957957957957959E-11</v>
      </c>
      <c r="V37" s="195">
        <f t="shared" si="39"/>
        <v>3.7987987987987991E-11</v>
      </c>
      <c r="W37" s="195">
        <f t="shared" si="40"/>
        <v>3.7935843793584379E-11</v>
      </c>
      <c r="X37" s="195">
        <f t="shared" si="41"/>
        <v>3.7924281984334201E-11</v>
      </c>
      <c r="Y37" s="291">
        <f t="shared" si="44"/>
        <v>3.7959977669709067E-11</v>
      </c>
      <c r="Z37" s="325"/>
      <c r="AA37" s="278">
        <v>5.3599999999999997E-9</v>
      </c>
      <c r="AB37" s="195">
        <v>1.3399999999999999E-8</v>
      </c>
      <c r="AC37" s="195">
        <v>1.3399999999999999E-8</v>
      </c>
      <c r="AD37" s="195">
        <v>1.28E-8</v>
      </c>
      <c r="AE37" s="195">
        <v>1.28E-8</v>
      </c>
      <c r="AF37" s="195">
        <v>1.28E-8</v>
      </c>
      <c r="AG37" s="195">
        <v>1.28E-8</v>
      </c>
      <c r="AH37" s="195">
        <v>1.28E-8</v>
      </c>
      <c r="AI37" s="195">
        <v>1.1900000000000001E-8</v>
      </c>
      <c r="AJ37" s="195">
        <v>1.26E-8</v>
      </c>
      <c r="AK37" s="195">
        <v>1.2100000000000001E-8</v>
      </c>
      <c r="AL37" s="195">
        <f t="shared" si="20"/>
        <v>4.3577235772357718E-11</v>
      </c>
      <c r="AM37" s="195">
        <f t="shared" si="21"/>
        <v>4.3365695792880254E-11</v>
      </c>
      <c r="AN37" s="195">
        <f t="shared" si="22"/>
        <v>4.3365695792880254E-11</v>
      </c>
      <c r="AO37" s="195">
        <f t="shared" si="23"/>
        <v>4.368600682593857E-11</v>
      </c>
      <c r="AP37" s="195">
        <f t="shared" si="24"/>
        <v>4.368600682593857E-11</v>
      </c>
      <c r="AQ37" s="195">
        <f t="shared" si="25"/>
        <v>4.368600682593857E-11</v>
      </c>
      <c r="AR37" s="195">
        <f t="shared" si="26"/>
        <v>4.368600682593857E-11</v>
      </c>
      <c r="AS37" s="195">
        <f t="shared" si="27"/>
        <v>4.368600682593857E-11</v>
      </c>
      <c r="AT37" s="195">
        <f t="shared" si="28"/>
        <v>4.3589743589743589E-11</v>
      </c>
      <c r="AU37" s="195">
        <f t="shared" si="29"/>
        <v>4.3598615916955021E-11</v>
      </c>
      <c r="AV37" s="195">
        <f t="shared" si="30"/>
        <v>4.3525179856115112E-11</v>
      </c>
      <c r="AW37" s="291">
        <f t="shared" si="43"/>
        <v>4.3586563713693159E-11</v>
      </c>
      <c r="AX37" s="194"/>
      <c r="AY37" s="194"/>
      <c r="AZ37" s="194"/>
      <c r="BA37" s="194"/>
      <c r="BB37" s="194"/>
      <c r="BC37" s="194"/>
      <c r="BD37" s="194"/>
      <c r="BE37" s="194"/>
    </row>
    <row r="38" spans="1:57" ht="15" customHeight="1" x14ac:dyDescent="0.25">
      <c r="A38" s="279" t="s">
        <v>570</v>
      </c>
      <c r="B38" s="279"/>
      <c r="C38" s="278">
        <v>1.3500000000000001E-13</v>
      </c>
      <c r="D38" s="195">
        <v>1.4999999999999999E-13</v>
      </c>
      <c r="E38" s="195">
        <v>1.55E-13</v>
      </c>
      <c r="F38" s="195">
        <v>1.5700000000000001E-13</v>
      </c>
      <c r="G38" s="195">
        <v>1.5700000000000001E-13</v>
      </c>
      <c r="H38" s="195">
        <v>1.5700000000000001E-13</v>
      </c>
      <c r="I38" s="195">
        <v>1.5700000000000001E-13</v>
      </c>
      <c r="J38" s="195">
        <v>1.5700000000000001E-13</v>
      </c>
      <c r="K38" s="195">
        <v>1.2599999999999999E-13</v>
      </c>
      <c r="L38" s="195">
        <v>1.3500000000000001E-13</v>
      </c>
      <c r="M38" s="195">
        <v>1.4399999999999999E-13</v>
      </c>
      <c r="N38" s="195">
        <f t="shared" si="31"/>
        <v>9.4405594405594411E-17</v>
      </c>
      <c r="O38" s="195">
        <f t="shared" si="32"/>
        <v>9.4339622641509433E-17</v>
      </c>
      <c r="P38" s="195">
        <f t="shared" si="33"/>
        <v>9.39963614311704E-17</v>
      </c>
      <c r="Q38" s="195">
        <f t="shared" si="34"/>
        <v>9.4294294294294306E-17</v>
      </c>
      <c r="R38" s="195">
        <f t="shared" si="35"/>
        <v>9.4294294294294306E-17</v>
      </c>
      <c r="S38" s="195">
        <f t="shared" si="36"/>
        <v>9.4294294294294306E-17</v>
      </c>
      <c r="T38" s="195">
        <f t="shared" si="37"/>
        <v>9.4294294294294306E-17</v>
      </c>
      <c r="U38" s="195">
        <f t="shared" si="38"/>
        <v>9.4294294294294306E-17</v>
      </c>
      <c r="V38" s="195">
        <f t="shared" si="39"/>
        <v>9.4594594594594592E-17</v>
      </c>
      <c r="W38" s="195">
        <f t="shared" si="40"/>
        <v>9.4142259414225948E-17</v>
      </c>
      <c r="X38" s="195">
        <f t="shared" si="41"/>
        <v>9.3994778067885117E-17</v>
      </c>
      <c r="Y38" s="292">
        <f t="shared" si="44"/>
        <v>9.4267698366041044E-17</v>
      </c>
      <c r="Z38" s="355"/>
      <c r="AA38" s="278">
        <v>1.3300000000000001E-14</v>
      </c>
      <c r="AB38" s="195">
        <v>3.3400000000000002E-14</v>
      </c>
      <c r="AC38" s="195">
        <v>3.3400000000000002E-14</v>
      </c>
      <c r="AD38" s="195">
        <v>3.17E-14</v>
      </c>
      <c r="AE38" s="195">
        <v>3.17E-14</v>
      </c>
      <c r="AF38" s="195">
        <v>3.17E-14</v>
      </c>
      <c r="AG38" s="195">
        <v>3.17E-14</v>
      </c>
      <c r="AH38" s="195">
        <v>3.17E-14</v>
      </c>
      <c r="AI38" s="195">
        <v>2.9500000000000001E-14</v>
      </c>
      <c r="AJ38" s="195">
        <v>3.1300000000000003E-14</v>
      </c>
      <c r="AK38" s="195">
        <v>2.9999999999999998E-14</v>
      </c>
      <c r="AL38" s="195">
        <f t="shared" si="20"/>
        <v>1.0813008130081301E-16</v>
      </c>
      <c r="AM38" s="195">
        <f t="shared" si="21"/>
        <v>1.0809061488673139E-16</v>
      </c>
      <c r="AN38" s="195">
        <f t="shared" si="22"/>
        <v>1.0809061488673139E-16</v>
      </c>
      <c r="AO38" s="195">
        <f t="shared" si="23"/>
        <v>1.0819112627986348E-16</v>
      </c>
      <c r="AP38" s="195">
        <f t="shared" si="24"/>
        <v>1.0819112627986348E-16</v>
      </c>
      <c r="AQ38" s="195">
        <f t="shared" si="25"/>
        <v>1.0819112627986348E-16</v>
      </c>
      <c r="AR38" s="195">
        <f t="shared" si="26"/>
        <v>1.0819112627986348E-16</v>
      </c>
      <c r="AS38" s="195">
        <f t="shared" si="27"/>
        <v>1.0819112627986348E-16</v>
      </c>
      <c r="AT38" s="195">
        <f t="shared" si="28"/>
        <v>1.0805860805860806E-16</v>
      </c>
      <c r="AU38" s="195">
        <f t="shared" si="29"/>
        <v>1.083044982698962E-16</v>
      </c>
      <c r="AV38" s="195">
        <f t="shared" si="30"/>
        <v>1.079136690647482E-16</v>
      </c>
      <c r="AW38" s="292">
        <f t="shared" si="43"/>
        <v>1.0814033798789508E-16</v>
      </c>
      <c r="AX38" s="194"/>
      <c r="AY38" s="194"/>
      <c r="AZ38" s="194"/>
      <c r="BA38" s="194"/>
      <c r="BB38" s="194"/>
      <c r="BC38" s="194"/>
      <c r="BD38" s="194"/>
      <c r="BE38" s="194"/>
    </row>
    <row r="39" spans="1:57" ht="15" customHeight="1" x14ac:dyDescent="0.25">
      <c r="A39" s="279" t="s">
        <v>662</v>
      </c>
      <c r="B39" s="326" t="s">
        <v>685</v>
      </c>
      <c r="C39" s="327">
        <v>3.12E-11</v>
      </c>
      <c r="D39" s="195">
        <v>3.4600000000000002E-11</v>
      </c>
      <c r="E39" s="195">
        <v>3.59E-11</v>
      </c>
      <c r="F39" s="195">
        <v>3.6200000000000002E-11</v>
      </c>
      <c r="G39" s="195">
        <v>3.6200000000000002E-11</v>
      </c>
      <c r="H39" s="195">
        <v>3.6200000000000002E-11</v>
      </c>
      <c r="I39" s="195">
        <v>3.6200000000000002E-11</v>
      </c>
      <c r="J39" s="195">
        <v>3.6200000000000002E-11</v>
      </c>
      <c r="K39" s="195">
        <v>2.9E-11</v>
      </c>
      <c r="L39" s="195">
        <v>3.12E-11</v>
      </c>
      <c r="M39" s="195">
        <v>3.3400000000000002E-11</v>
      </c>
      <c r="N39" s="195">
        <f t="shared" si="31"/>
        <v>2.1818181818181819E-14</v>
      </c>
      <c r="O39" s="195">
        <f t="shared" si="32"/>
        <v>2.1761006289308179E-14</v>
      </c>
      <c r="P39" s="195">
        <f t="shared" si="33"/>
        <v>2.1770770163735599E-14</v>
      </c>
      <c r="Q39" s="195">
        <f t="shared" si="34"/>
        <v>2.1741741741741741E-14</v>
      </c>
      <c r="R39" s="195">
        <f t="shared" si="35"/>
        <v>2.1741741741741741E-14</v>
      </c>
      <c r="S39" s="195">
        <f t="shared" si="36"/>
        <v>2.1741741741741741E-14</v>
      </c>
      <c r="T39" s="195">
        <f t="shared" si="37"/>
        <v>2.1741741741741741E-14</v>
      </c>
      <c r="U39" s="195">
        <f t="shared" si="38"/>
        <v>2.1741741741741741E-14</v>
      </c>
      <c r="V39" s="195">
        <f t="shared" si="39"/>
        <v>2.1771771771771772E-14</v>
      </c>
      <c r="W39" s="195">
        <f t="shared" si="40"/>
        <v>2.1757322175732218E-14</v>
      </c>
      <c r="X39" s="195">
        <f t="shared" si="41"/>
        <v>2.1801566579634465E-14</v>
      </c>
      <c r="Y39" s="325">
        <f t="shared" si="44"/>
        <v>2.1762666137006617E-14</v>
      </c>
      <c r="Z39" s="325"/>
      <c r="AA39" s="327">
        <v>6.9299999999999998E-12</v>
      </c>
      <c r="AB39" s="195">
        <v>1.7399999999999999E-11</v>
      </c>
      <c r="AC39" s="195">
        <v>1.7399999999999999E-11</v>
      </c>
      <c r="AD39" s="195">
        <v>1.6500000000000001E-11</v>
      </c>
      <c r="AE39" s="195">
        <v>1.6500000000000001E-11</v>
      </c>
      <c r="AF39" s="195">
        <v>1.6500000000000001E-11</v>
      </c>
      <c r="AG39" s="195">
        <v>1.6500000000000001E-11</v>
      </c>
      <c r="AH39" s="195">
        <v>1.6500000000000001E-11</v>
      </c>
      <c r="AI39" s="195">
        <v>1.54E-11</v>
      </c>
      <c r="AJ39" s="195">
        <v>1.6300000000000001E-11</v>
      </c>
      <c r="AK39" s="195">
        <v>1.56E-11</v>
      </c>
      <c r="AL39" s="195">
        <f t="shared" si="20"/>
        <v>5.6341463414634144E-14</v>
      </c>
      <c r="AM39" s="195">
        <f t="shared" si="21"/>
        <v>5.6310679611650484E-14</v>
      </c>
      <c r="AN39" s="195">
        <f t="shared" si="22"/>
        <v>5.6310679611650484E-14</v>
      </c>
      <c r="AO39" s="195">
        <f t="shared" si="23"/>
        <v>5.6313993174061435E-14</v>
      </c>
      <c r="AP39" s="195">
        <f t="shared" si="24"/>
        <v>5.6313993174061435E-14</v>
      </c>
      <c r="AQ39" s="195">
        <f t="shared" si="25"/>
        <v>5.6313993174061435E-14</v>
      </c>
      <c r="AR39" s="195">
        <f t="shared" si="26"/>
        <v>5.6313993174061435E-14</v>
      </c>
      <c r="AS39" s="195">
        <f t="shared" si="27"/>
        <v>5.6313993174061435E-14</v>
      </c>
      <c r="AT39" s="195">
        <f t="shared" si="28"/>
        <v>5.6410256410256411E-14</v>
      </c>
      <c r="AU39" s="195">
        <f t="shared" si="29"/>
        <v>5.6401384083044986E-14</v>
      </c>
      <c r="AV39" s="195">
        <f t="shared" si="30"/>
        <v>5.6115107913669065E-14</v>
      </c>
      <c r="AW39" s="325">
        <f t="shared" si="43"/>
        <v>5.6314503355928435E-14</v>
      </c>
      <c r="AX39" s="194" t="s">
        <v>687</v>
      </c>
      <c r="AY39" s="194"/>
      <c r="AZ39" s="194"/>
      <c r="BA39" s="194"/>
      <c r="BB39" s="194"/>
      <c r="BC39" s="194"/>
      <c r="BD39" s="194"/>
      <c r="BE39" s="194"/>
    </row>
    <row r="40" spans="1:57" ht="15" customHeight="1" x14ac:dyDescent="0.25">
      <c r="A40" s="279" t="s">
        <v>663</v>
      </c>
      <c r="B40" s="326" t="s">
        <v>709</v>
      </c>
      <c r="C40" s="327">
        <v>2.9900000000000002E-7</v>
      </c>
      <c r="D40" s="195">
        <v>3.3200000000000001E-7</v>
      </c>
      <c r="E40" s="195">
        <v>3.4400000000000001E-7</v>
      </c>
      <c r="F40" s="195">
        <v>3.4700000000000002E-7</v>
      </c>
      <c r="G40" s="195">
        <v>3.4700000000000002E-7</v>
      </c>
      <c r="H40" s="195">
        <v>3.4700000000000002E-7</v>
      </c>
      <c r="I40" s="195">
        <v>3.4700000000000002E-7</v>
      </c>
      <c r="J40" s="195">
        <v>3.4700000000000002E-7</v>
      </c>
      <c r="K40" s="195">
        <v>2.7799999999999997E-7</v>
      </c>
      <c r="L40" s="195">
        <v>2.9900000000000002E-7</v>
      </c>
      <c r="M40" s="195">
        <v>3.1899999999999998E-7</v>
      </c>
      <c r="N40" s="195">
        <f t="shared" si="31"/>
        <v>2.0909090909090911E-10</v>
      </c>
      <c r="O40" s="195">
        <f t="shared" si="32"/>
        <v>2.0880503144654087E-10</v>
      </c>
      <c r="P40" s="195">
        <f t="shared" si="33"/>
        <v>2.0861127956337174E-10</v>
      </c>
      <c r="Q40" s="195">
        <f t="shared" si="34"/>
        <v>2.0840840840840843E-10</v>
      </c>
      <c r="R40" s="195">
        <f t="shared" si="35"/>
        <v>2.0840840840840843E-10</v>
      </c>
      <c r="S40" s="195">
        <f t="shared" si="36"/>
        <v>2.0840840840840843E-10</v>
      </c>
      <c r="T40" s="195">
        <f t="shared" si="37"/>
        <v>2.0840840840840843E-10</v>
      </c>
      <c r="U40" s="195">
        <f t="shared" si="38"/>
        <v>2.0840840840840843E-10</v>
      </c>
      <c r="V40" s="195">
        <f t="shared" si="39"/>
        <v>2.0870870870870868E-10</v>
      </c>
      <c r="W40" s="195">
        <f t="shared" si="40"/>
        <v>2.085076708507671E-10</v>
      </c>
      <c r="X40" s="195">
        <f t="shared" si="41"/>
        <v>2.0822454308093993E-10</v>
      </c>
      <c r="Y40" s="325">
        <f t="shared" si="44"/>
        <v>2.0854456225302542E-10</v>
      </c>
      <c r="Z40" s="325"/>
      <c r="AA40" s="327">
        <v>2.9499999999999999E-8</v>
      </c>
      <c r="AB40" s="195">
        <v>7.4099999999999995E-8</v>
      </c>
      <c r="AC40" s="195">
        <v>7.4099999999999995E-8</v>
      </c>
      <c r="AD40" s="195">
        <v>7.0399999999999995E-8</v>
      </c>
      <c r="AE40" s="195">
        <v>7.0399999999999995E-8</v>
      </c>
      <c r="AF40" s="195">
        <v>7.0399999999999995E-8</v>
      </c>
      <c r="AG40" s="195">
        <v>7.0399999999999995E-8</v>
      </c>
      <c r="AH40" s="195">
        <v>7.0399999999999995E-8</v>
      </c>
      <c r="AI40" s="195">
        <v>6.5600000000000005E-8</v>
      </c>
      <c r="AJ40" s="195">
        <v>6.9499999999999994E-8</v>
      </c>
      <c r="AK40" s="195">
        <v>6.6699999999999995E-8</v>
      </c>
      <c r="AL40" s="195">
        <f t="shared" si="20"/>
        <v>2.3983739837398374E-10</v>
      </c>
      <c r="AM40" s="195">
        <f t="shared" si="21"/>
        <v>2.3980582524271845E-10</v>
      </c>
      <c r="AN40" s="195">
        <f t="shared" si="22"/>
        <v>2.3980582524271845E-10</v>
      </c>
      <c r="AO40" s="195">
        <f t="shared" si="23"/>
        <v>2.4027303754266212E-10</v>
      </c>
      <c r="AP40" s="195">
        <f t="shared" si="24"/>
        <v>2.4027303754266212E-10</v>
      </c>
      <c r="AQ40" s="195">
        <f t="shared" si="25"/>
        <v>2.4027303754266212E-10</v>
      </c>
      <c r="AR40" s="195">
        <f t="shared" si="26"/>
        <v>2.4027303754266212E-10</v>
      </c>
      <c r="AS40" s="195">
        <f t="shared" si="27"/>
        <v>2.4027303754266212E-10</v>
      </c>
      <c r="AT40" s="195">
        <f t="shared" si="28"/>
        <v>2.4029304029304031E-10</v>
      </c>
      <c r="AU40" s="195">
        <f t="shared" si="29"/>
        <v>2.4048442906574392E-10</v>
      </c>
      <c r="AV40" s="195">
        <f t="shared" si="30"/>
        <v>2.3992805755395684E-10</v>
      </c>
      <c r="AW40" s="325">
        <f t="shared" si="43"/>
        <v>2.4013816031686113E-10</v>
      </c>
      <c r="AX40" s="325" t="s">
        <v>508</v>
      </c>
      <c r="AY40" s="194"/>
      <c r="AZ40" s="194"/>
      <c r="BA40" s="194"/>
      <c r="BB40" s="194"/>
      <c r="BC40" s="194"/>
      <c r="BD40" s="194"/>
      <c r="BE40" s="194"/>
    </row>
    <row r="41" spans="1:57" ht="15" customHeight="1" x14ac:dyDescent="0.25">
      <c r="A41" s="279" t="s">
        <v>568</v>
      </c>
      <c r="B41" s="279" t="s">
        <v>710</v>
      </c>
      <c r="C41" s="278">
        <v>6.3099999999999997E-6</v>
      </c>
      <c r="D41" s="195">
        <v>7.0099999999999998E-6</v>
      </c>
      <c r="E41" s="195">
        <v>7.2699999999999999E-6</v>
      </c>
      <c r="F41" s="195">
        <v>7.34E-6</v>
      </c>
      <c r="G41" s="195">
        <v>7.34E-6</v>
      </c>
      <c r="H41" s="195">
        <v>7.34E-6</v>
      </c>
      <c r="I41" s="195">
        <v>7.34E-6</v>
      </c>
      <c r="J41" s="195">
        <v>7.34E-6</v>
      </c>
      <c r="K41" s="195">
        <v>5.8699999999999997E-6</v>
      </c>
      <c r="L41" s="195">
        <v>6.3300000000000004E-6</v>
      </c>
      <c r="M41" s="195">
        <v>6.7599999999999997E-6</v>
      </c>
      <c r="N41" s="195">
        <f t="shared" si="31"/>
        <v>4.4125874125874121E-9</v>
      </c>
      <c r="O41" s="195">
        <f t="shared" si="32"/>
        <v>4.4088050314465406E-9</v>
      </c>
      <c r="P41" s="195">
        <f t="shared" si="33"/>
        <v>4.4087325651910246E-9</v>
      </c>
      <c r="Q41" s="195">
        <f t="shared" si="34"/>
        <v>4.4084084084084084E-9</v>
      </c>
      <c r="R41" s="195">
        <f t="shared" si="35"/>
        <v>4.4084084084084084E-9</v>
      </c>
      <c r="S41" s="195">
        <f t="shared" si="36"/>
        <v>4.4084084084084084E-9</v>
      </c>
      <c r="T41" s="195">
        <f t="shared" si="37"/>
        <v>4.4084084084084084E-9</v>
      </c>
      <c r="U41" s="195">
        <f t="shared" si="38"/>
        <v>4.4084084084084084E-9</v>
      </c>
      <c r="V41" s="195">
        <f t="shared" si="39"/>
        <v>4.4069069069069063E-9</v>
      </c>
      <c r="W41" s="195">
        <f t="shared" si="40"/>
        <v>4.4142259414225944E-9</v>
      </c>
      <c r="X41" s="195">
        <f t="shared" si="41"/>
        <v>4.4125326370757176E-9</v>
      </c>
      <c r="Y41" s="291">
        <f t="shared" si="44"/>
        <v>4.4096211396974765E-9</v>
      </c>
      <c r="Z41" s="325"/>
      <c r="AA41" s="278">
        <v>6.2300000000000001E-7</v>
      </c>
      <c r="AB41" s="195">
        <v>1.5600000000000001E-6</v>
      </c>
      <c r="AC41" s="195">
        <v>1.5600000000000001E-6</v>
      </c>
      <c r="AD41" s="195">
        <v>1.48E-6</v>
      </c>
      <c r="AE41" s="195">
        <v>1.48E-6</v>
      </c>
      <c r="AF41" s="195">
        <v>1.48E-6</v>
      </c>
      <c r="AG41" s="195">
        <v>1.48E-6</v>
      </c>
      <c r="AH41" s="195">
        <v>1.48E-6</v>
      </c>
      <c r="AI41" s="195">
        <v>1.3799999999999999E-6</v>
      </c>
      <c r="AJ41" s="195">
        <v>1.46E-6</v>
      </c>
      <c r="AK41" s="195">
        <v>1.4100000000000001E-6</v>
      </c>
      <c r="AL41" s="195">
        <f t="shared" si="20"/>
        <v>5.0650406504065038E-9</v>
      </c>
      <c r="AM41" s="195">
        <f t="shared" si="21"/>
        <v>5.0485436893203889E-9</v>
      </c>
      <c r="AN41" s="195">
        <f t="shared" si="22"/>
        <v>5.0485436893203889E-9</v>
      </c>
      <c r="AO41" s="195">
        <f t="shared" si="23"/>
        <v>5.0511945392491468E-9</v>
      </c>
      <c r="AP41" s="195">
        <f t="shared" si="24"/>
        <v>5.0511945392491468E-9</v>
      </c>
      <c r="AQ41" s="195">
        <f t="shared" si="25"/>
        <v>5.0511945392491468E-9</v>
      </c>
      <c r="AR41" s="195">
        <f t="shared" si="26"/>
        <v>5.0511945392491468E-9</v>
      </c>
      <c r="AS41" s="195">
        <f t="shared" si="27"/>
        <v>5.0511945392491468E-9</v>
      </c>
      <c r="AT41" s="195">
        <f t="shared" si="28"/>
        <v>5.0549450549450547E-9</v>
      </c>
      <c r="AU41" s="195">
        <f t="shared" si="29"/>
        <v>5.0519031141868515E-9</v>
      </c>
      <c r="AV41" s="195">
        <f t="shared" si="30"/>
        <v>5.0719424460431655E-9</v>
      </c>
      <c r="AW41" s="291">
        <f t="shared" si="43"/>
        <v>5.0542628491334617E-9</v>
      </c>
      <c r="AX41" s="194"/>
      <c r="AY41" s="194"/>
      <c r="AZ41" s="194"/>
      <c r="BA41" s="194"/>
      <c r="BB41" s="194"/>
      <c r="BC41" s="194"/>
      <c r="BD41" s="194"/>
      <c r="BE41" s="194"/>
    </row>
    <row r="42" spans="1:57" ht="15" customHeight="1" x14ac:dyDescent="0.25">
      <c r="A42" s="279" t="s">
        <v>664</v>
      </c>
      <c r="B42" s="279" t="s">
        <v>711</v>
      </c>
      <c r="C42" s="278">
        <v>1.3599999999999999E-8</v>
      </c>
      <c r="D42" s="195">
        <v>1.51E-8</v>
      </c>
      <c r="E42" s="195">
        <v>1.5700000000000002E-8</v>
      </c>
      <c r="F42" s="195">
        <v>1.59E-8</v>
      </c>
      <c r="G42" s="195">
        <v>1.59E-8</v>
      </c>
      <c r="H42" s="195">
        <v>1.59E-8</v>
      </c>
      <c r="I42" s="195">
        <v>1.59E-8</v>
      </c>
      <c r="J42" s="195">
        <v>1.59E-8</v>
      </c>
      <c r="K42" s="195">
        <v>1.27E-8</v>
      </c>
      <c r="L42" s="195">
        <v>1.37E-8</v>
      </c>
      <c r="M42" s="195">
        <v>1.46E-8</v>
      </c>
      <c r="N42" s="195">
        <f t="shared" si="31"/>
        <v>9.5104895104895108E-12</v>
      </c>
      <c r="O42" s="195">
        <f t="shared" si="32"/>
        <v>9.4968553459119491E-12</v>
      </c>
      <c r="P42" s="195">
        <f t="shared" si="33"/>
        <v>9.5209217707701647E-12</v>
      </c>
      <c r="Q42" s="195">
        <f t="shared" si="34"/>
        <v>9.5495495495495488E-12</v>
      </c>
      <c r="R42" s="195">
        <f t="shared" si="35"/>
        <v>9.5495495495495488E-12</v>
      </c>
      <c r="S42" s="195">
        <f t="shared" si="36"/>
        <v>9.5495495495495488E-12</v>
      </c>
      <c r="T42" s="195">
        <f t="shared" si="37"/>
        <v>9.5495495495495488E-12</v>
      </c>
      <c r="U42" s="195">
        <f t="shared" si="38"/>
        <v>9.5495495495495488E-12</v>
      </c>
      <c r="V42" s="195">
        <f t="shared" si="39"/>
        <v>9.534534534534534E-12</v>
      </c>
      <c r="W42" s="195">
        <f t="shared" si="40"/>
        <v>9.5536959553695957E-12</v>
      </c>
      <c r="X42" s="195">
        <f t="shared" si="41"/>
        <v>9.530026109660575E-12</v>
      </c>
      <c r="Y42" s="291">
        <f t="shared" si="44"/>
        <v>9.5358428158621878E-12</v>
      </c>
      <c r="Z42" s="325"/>
      <c r="AA42" s="278">
        <v>1.3399999999999999E-9</v>
      </c>
      <c r="AB42" s="195">
        <v>3.3700000000000001E-9</v>
      </c>
      <c r="AC42" s="195">
        <v>3.3700000000000001E-9</v>
      </c>
      <c r="AD42" s="195">
        <v>3.2000000000000001E-9</v>
      </c>
      <c r="AE42" s="195">
        <v>3.2000000000000001E-9</v>
      </c>
      <c r="AF42" s="195">
        <v>3.2000000000000001E-9</v>
      </c>
      <c r="AG42" s="195">
        <v>3.2000000000000001E-9</v>
      </c>
      <c r="AH42" s="195">
        <v>3.2000000000000001E-9</v>
      </c>
      <c r="AI42" s="195">
        <v>2.98E-9</v>
      </c>
      <c r="AJ42" s="195">
        <v>3.1599999999999998E-9</v>
      </c>
      <c r="AK42" s="195">
        <v>3.0399999999999998E-9</v>
      </c>
      <c r="AL42" s="195">
        <f t="shared" si="20"/>
        <v>1.0894308943089429E-11</v>
      </c>
      <c r="AM42" s="195">
        <f t="shared" si="21"/>
        <v>1.0906148867313917E-11</v>
      </c>
      <c r="AN42" s="195">
        <f t="shared" si="22"/>
        <v>1.0906148867313917E-11</v>
      </c>
      <c r="AO42" s="195">
        <f t="shared" si="23"/>
        <v>1.0921501706484642E-11</v>
      </c>
      <c r="AP42" s="195">
        <f t="shared" si="24"/>
        <v>1.0921501706484642E-11</v>
      </c>
      <c r="AQ42" s="195">
        <f t="shared" si="25"/>
        <v>1.0921501706484642E-11</v>
      </c>
      <c r="AR42" s="195">
        <f t="shared" si="26"/>
        <v>1.0921501706484642E-11</v>
      </c>
      <c r="AS42" s="195">
        <f t="shared" si="27"/>
        <v>1.0921501706484642E-11</v>
      </c>
      <c r="AT42" s="195">
        <f t="shared" si="28"/>
        <v>1.0915750915750915E-11</v>
      </c>
      <c r="AU42" s="195">
        <f t="shared" si="29"/>
        <v>1.0934256055363322E-11</v>
      </c>
      <c r="AV42" s="195">
        <f t="shared" si="30"/>
        <v>1.0935251798561151E-11</v>
      </c>
      <c r="AW42" s="291">
        <f t="shared" si="43"/>
        <v>1.0918124907255987E-11</v>
      </c>
      <c r="AX42" s="194"/>
      <c r="AY42" s="194"/>
      <c r="AZ42" s="194"/>
      <c r="BA42" s="194"/>
      <c r="BB42" s="194"/>
      <c r="BC42" s="194"/>
      <c r="BD42" s="194"/>
      <c r="BE42" s="194"/>
    </row>
    <row r="43" spans="1:57" ht="15" customHeight="1" x14ac:dyDescent="0.25">
      <c r="A43" s="279" t="s">
        <v>665</v>
      </c>
      <c r="B43" s="279" t="s">
        <v>712</v>
      </c>
      <c r="C43" s="278">
        <v>2.7100000000000001E-8</v>
      </c>
      <c r="D43" s="195">
        <v>3.0099999999999998E-8</v>
      </c>
      <c r="E43" s="195">
        <v>3.1200000000000001E-8</v>
      </c>
      <c r="F43" s="195">
        <v>3.1499999999999998E-8</v>
      </c>
      <c r="G43" s="195">
        <v>3.1499999999999998E-8</v>
      </c>
      <c r="H43" s="195">
        <v>3.1499999999999998E-8</v>
      </c>
      <c r="I43" s="195">
        <v>3.1499999999999998E-8</v>
      </c>
      <c r="J43" s="195">
        <v>3.1499999999999998E-8</v>
      </c>
      <c r="K43" s="195">
        <v>2.5200000000000001E-8</v>
      </c>
      <c r="L43" s="195">
        <v>2.7100000000000001E-8</v>
      </c>
      <c r="M43" s="195">
        <v>2.9000000000000002E-8</v>
      </c>
      <c r="N43" s="195">
        <f t="shared" si="31"/>
        <v>1.8951048951048952E-11</v>
      </c>
      <c r="O43" s="195">
        <f t="shared" si="32"/>
        <v>1.8930817610062891E-11</v>
      </c>
      <c r="P43" s="195">
        <f t="shared" si="33"/>
        <v>1.8920557913887206E-11</v>
      </c>
      <c r="Q43" s="195">
        <f t="shared" si="34"/>
        <v>1.8918918918918917E-11</v>
      </c>
      <c r="R43" s="195">
        <f t="shared" si="35"/>
        <v>1.8918918918918917E-11</v>
      </c>
      <c r="S43" s="195">
        <f t="shared" si="36"/>
        <v>1.8918918918918917E-11</v>
      </c>
      <c r="T43" s="195">
        <f t="shared" si="37"/>
        <v>1.8918918918918917E-11</v>
      </c>
      <c r="U43" s="195">
        <f t="shared" si="38"/>
        <v>1.8918918918918917E-11</v>
      </c>
      <c r="V43" s="195">
        <f t="shared" si="39"/>
        <v>1.891891891891892E-11</v>
      </c>
      <c r="W43" s="195">
        <f t="shared" si="40"/>
        <v>1.889818688981869E-11</v>
      </c>
      <c r="X43" s="195">
        <f t="shared" si="41"/>
        <v>1.8929503916449088E-11</v>
      </c>
      <c r="Y43" s="291">
        <f t="shared" si="44"/>
        <v>1.8922148072252756E-11</v>
      </c>
      <c r="Z43" s="325"/>
      <c r="AA43" s="278">
        <v>2.6700000000000001E-9</v>
      </c>
      <c r="AB43" s="195">
        <v>6.6999999999999996E-9</v>
      </c>
      <c r="AC43" s="195">
        <v>6.6999999999999996E-9</v>
      </c>
      <c r="AD43" s="195">
        <v>6.3700000000000001E-9</v>
      </c>
      <c r="AE43" s="195">
        <v>6.3700000000000001E-9</v>
      </c>
      <c r="AF43" s="195">
        <v>6.3700000000000001E-9</v>
      </c>
      <c r="AG43" s="195">
        <v>6.3700000000000001E-9</v>
      </c>
      <c r="AH43" s="195">
        <v>6.3700000000000001E-9</v>
      </c>
      <c r="AI43" s="195">
        <v>5.93E-9</v>
      </c>
      <c r="AJ43" s="195">
        <v>6.2799999999999998E-9</v>
      </c>
      <c r="AK43" s="195">
        <v>6.0300000000000001E-9</v>
      </c>
      <c r="AL43" s="195">
        <f t="shared" si="20"/>
        <v>2.1707317073170734E-11</v>
      </c>
      <c r="AM43" s="195">
        <f t="shared" si="21"/>
        <v>2.1682847896440127E-11</v>
      </c>
      <c r="AN43" s="195">
        <f t="shared" si="22"/>
        <v>2.1682847896440127E-11</v>
      </c>
      <c r="AO43" s="195">
        <f t="shared" si="23"/>
        <v>2.1740614334470991E-11</v>
      </c>
      <c r="AP43" s="195">
        <f t="shared" si="24"/>
        <v>2.1740614334470991E-11</v>
      </c>
      <c r="AQ43" s="195">
        <f t="shared" si="25"/>
        <v>2.1740614334470991E-11</v>
      </c>
      <c r="AR43" s="195">
        <f t="shared" si="26"/>
        <v>2.1740614334470991E-11</v>
      </c>
      <c r="AS43" s="195">
        <f t="shared" si="27"/>
        <v>2.1740614334470991E-11</v>
      </c>
      <c r="AT43" s="195">
        <f t="shared" si="28"/>
        <v>2.1721611721611722E-11</v>
      </c>
      <c r="AU43" s="195">
        <f t="shared" si="29"/>
        <v>2.1730103806228373E-11</v>
      </c>
      <c r="AV43" s="195">
        <f t="shared" si="30"/>
        <v>2.1690647482014389E-11</v>
      </c>
      <c r="AW43" s="291">
        <f t="shared" si="43"/>
        <v>2.1719858868023679E-11</v>
      </c>
      <c r="AX43" s="194"/>
      <c r="AY43" s="194"/>
      <c r="AZ43" s="194"/>
      <c r="BA43" s="194"/>
      <c r="BB43" s="194"/>
      <c r="BC43" s="194"/>
      <c r="BD43" s="194"/>
      <c r="BE43" s="194"/>
    </row>
    <row r="44" spans="1:57" ht="15" customHeight="1" x14ac:dyDescent="0.25">
      <c r="A44" s="279" t="s">
        <v>567</v>
      </c>
      <c r="B44" s="279" t="s">
        <v>713</v>
      </c>
      <c r="C44" s="278">
        <v>1.02E-9</v>
      </c>
      <c r="D44" s="195">
        <v>1.13E-9</v>
      </c>
      <c r="E44" s="195">
        <v>1.1800000000000001E-9</v>
      </c>
      <c r="F44" s="195">
        <v>1.19E-9</v>
      </c>
      <c r="G44" s="195">
        <v>1.19E-9</v>
      </c>
      <c r="H44" s="195">
        <v>1.19E-9</v>
      </c>
      <c r="I44" s="195">
        <v>1.19E-9</v>
      </c>
      <c r="J44" s="195">
        <v>1.19E-9</v>
      </c>
      <c r="K44" s="195">
        <v>9.4899999999999993E-10</v>
      </c>
      <c r="L44" s="195">
        <v>1.02E-9</v>
      </c>
      <c r="M44" s="195">
        <v>1.09E-9</v>
      </c>
      <c r="N44" s="195">
        <f t="shared" si="31"/>
        <v>7.1328671328671329E-13</v>
      </c>
      <c r="O44" s="195">
        <f t="shared" si="32"/>
        <v>7.1069182389937108E-13</v>
      </c>
      <c r="P44" s="195">
        <f t="shared" si="33"/>
        <v>7.155852031534264E-13</v>
      </c>
      <c r="Q44" s="195">
        <f t="shared" si="34"/>
        <v>7.1471471471471468E-13</v>
      </c>
      <c r="R44" s="195">
        <f t="shared" si="35"/>
        <v>7.1471471471471468E-13</v>
      </c>
      <c r="S44" s="195">
        <f t="shared" si="36"/>
        <v>7.1471471471471468E-13</v>
      </c>
      <c r="T44" s="195">
        <f t="shared" si="37"/>
        <v>7.1471471471471468E-13</v>
      </c>
      <c r="U44" s="195">
        <f t="shared" si="38"/>
        <v>7.1471471471471468E-13</v>
      </c>
      <c r="V44" s="195">
        <f t="shared" si="39"/>
        <v>7.1246246246246242E-13</v>
      </c>
      <c r="W44" s="195">
        <f t="shared" si="40"/>
        <v>7.1129707112970707E-13</v>
      </c>
      <c r="X44" s="195">
        <f t="shared" si="41"/>
        <v>7.1148825065274146E-13</v>
      </c>
      <c r="Y44" s="291">
        <f t="shared" si="44"/>
        <v>7.1348955437799957E-13</v>
      </c>
      <c r="Z44" s="325"/>
      <c r="AA44" s="278">
        <v>1.01E-10</v>
      </c>
      <c r="AB44" s="195">
        <v>2.5200000000000001E-10</v>
      </c>
      <c r="AC44" s="195">
        <v>2.5200000000000001E-10</v>
      </c>
      <c r="AD44" s="195">
        <v>2.4E-10</v>
      </c>
      <c r="AE44" s="195">
        <v>2.4E-10</v>
      </c>
      <c r="AF44" s="195">
        <v>2.4E-10</v>
      </c>
      <c r="AG44" s="195">
        <v>2.4E-10</v>
      </c>
      <c r="AH44" s="195">
        <v>2.4E-10</v>
      </c>
      <c r="AI44" s="195">
        <v>2.2300000000000001E-10</v>
      </c>
      <c r="AJ44" s="195">
        <v>2.3700000000000001E-10</v>
      </c>
      <c r="AK44" s="195">
        <v>2.2699999999999999E-10</v>
      </c>
      <c r="AL44" s="195">
        <f t="shared" si="20"/>
        <v>8.2113821138211382E-13</v>
      </c>
      <c r="AM44" s="195">
        <f t="shared" si="21"/>
        <v>8.1553398058252425E-13</v>
      </c>
      <c r="AN44" s="195">
        <f t="shared" si="22"/>
        <v>8.1553398058252425E-13</v>
      </c>
      <c r="AO44" s="195">
        <f t="shared" si="23"/>
        <v>8.1911262798634812E-13</v>
      </c>
      <c r="AP44" s="195">
        <f t="shared" si="24"/>
        <v>8.1911262798634812E-13</v>
      </c>
      <c r="AQ44" s="195">
        <f t="shared" si="25"/>
        <v>8.1911262798634812E-13</v>
      </c>
      <c r="AR44" s="195">
        <f t="shared" si="26"/>
        <v>8.1911262798634812E-13</v>
      </c>
      <c r="AS44" s="195">
        <f t="shared" si="27"/>
        <v>8.1911262798634812E-13</v>
      </c>
      <c r="AT44" s="195">
        <f t="shared" si="28"/>
        <v>8.1684981684981689E-13</v>
      </c>
      <c r="AU44" s="195">
        <f t="shared" si="29"/>
        <v>8.2006920415224917E-13</v>
      </c>
      <c r="AV44" s="195">
        <f t="shared" si="30"/>
        <v>8.1654676258992806E-13</v>
      </c>
      <c r="AW44" s="291">
        <f t="shared" si="43"/>
        <v>8.1829409964280902E-13</v>
      </c>
      <c r="AX44" s="194"/>
      <c r="AY44" s="194"/>
      <c r="AZ44" s="194"/>
      <c r="BA44" s="194"/>
      <c r="BB44" s="194"/>
      <c r="BC44" s="194"/>
      <c r="BD44" s="194"/>
      <c r="BE44" s="194"/>
    </row>
    <row r="45" spans="1:57" ht="15" customHeight="1" x14ac:dyDescent="0.25">
      <c r="A45" s="279" t="s">
        <v>566</v>
      </c>
      <c r="B45" s="279" t="s">
        <v>714</v>
      </c>
      <c r="C45" s="278">
        <v>4.9200000000000003E-5</v>
      </c>
      <c r="D45" s="195">
        <v>5.4700000000000001E-5</v>
      </c>
      <c r="E45" s="195">
        <v>5.6700000000000003E-5</v>
      </c>
      <c r="F45" s="195">
        <v>5.7200000000000001E-5</v>
      </c>
      <c r="G45" s="195">
        <v>5.7200000000000001E-5</v>
      </c>
      <c r="H45" s="195">
        <v>5.7200000000000001E-5</v>
      </c>
      <c r="I45" s="195">
        <v>5.7200000000000001E-5</v>
      </c>
      <c r="J45" s="195">
        <v>5.7200000000000001E-5</v>
      </c>
      <c r="K45" s="195">
        <v>4.5800000000000002E-5</v>
      </c>
      <c r="L45" s="195">
        <v>4.9299999999999999E-5</v>
      </c>
      <c r="M45" s="195">
        <v>5.27E-5</v>
      </c>
      <c r="N45" s="195">
        <f t="shared" si="31"/>
        <v>3.4405594405594408E-8</v>
      </c>
      <c r="O45" s="195">
        <f t="shared" si="32"/>
        <v>3.4402515723270443E-8</v>
      </c>
      <c r="P45" s="195">
        <f t="shared" si="33"/>
        <v>3.43844754396604E-8</v>
      </c>
      <c r="Q45" s="195">
        <f t="shared" si="34"/>
        <v>3.4354354354354352E-8</v>
      </c>
      <c r="R45" s="195">
        <f t="shared" si="35"/>
        <v>3.4354354354354352E-8</v>
      </c>
      <c r="S45" s="195">
        <f t="shared" si="36"/>
        <v>3.4354354354354352E-8</v>
      </c>
      <c r="T45" s="195">
        <f t="shared" si="37"/>
        <v>3.4354354354354352E-8</v>
      </c>
      <c r="U45" s="195">
        <f t="shared" si="38"/>
        <v>3.4354354354354352E-8</v>
      </c>
      <c r="V45" s="195">
        <f t="shared" si="39"/>
        <v>3.4384384384384387E-8</v>
      </c>
      <c r="W45" s="195">
        <f t="shared" si="40"/>
        <v>3.4379358437935841E-8</v>
      </c>
      <c r="X45" s="195">
        <f t="shared" si="41"/>
        <v>3.4399477806788512E-8</v>
      </c>
      <c r="Y45" s="291">
        <f t="shared" si="44"/>
        <v>3.4375234360855071E-8</v>
      </c>
      <c r="Z45" s="325"/>
      <c r="AA45" s="278">
        <v>6.6900000000000003E-6</v>
      </c>
      <c r="AB45" s="195">
        <v>1.6799999999999998E-5</v>
      </c>
      <c r="AC45" s="195">
        <v>1.6799999999999998E-5</v>
      </c>
      <c r="AD45" s="195">
        <v>1.59E-5</v>
      </c>
      <c r="AE45" s="195">
        <v>1.59E-5</v>
      </c>
      <c r="AF45" s="195">
        <v>1.59E-5</v>
      </c>
      <c r="AG45" s="195">
        <v>1.59E-5</v>
      </c>
      <c r="AH45" s="195">
        <v>1.59E-5</v>
      </c>
      <c r="AI45" s="195">
        <v>1.4800000000000001E-5</v>
      </c>
      <c r="AJ45" s="195">
        <v>1.5699999999999999E-5</v>
      </c>
      <c r="AK45" s="195">
        <v>1.5099999999999999E-5</v>
      </c>
      <c r="AL45" s="195">
        <f t="shared" si="20"/>
        <v>5.4390243902439027E-8</v>
      </c>
      <c r="AM45" s="195">
        <f t="shared" si="21"/>
        <v>5.4368932038834945E-8</v>
      </c>
      <c r="AN45" s="195">
        <f t="shared" si="22"/>
        <v>5.4368932038834945E-8</v>
      </c>
      <c r="AO45" s="195">
        <f t="shared" si="23"/>
        <v>5.4266211604095562E-8</v>
      </c>
      <c r="AP45" s="195">
        <f t="shared" si="24"/>
        <v>5.4266211604095562E-8</v>
      </c>
      <c r="AQ45" s="195">
        <f t="shared" si="25"/>
        <v>5.4266211604095562E-8</v>
      </c>
      <c r="AR45" s="195">
        <f t="shared" si="26"/>
        <v>5.4266211604095562E-8</v>
      </c>
      <c r="AS45" s="195">
        <f t="shared" si="27"/>
        <v>5.4266211604095562E-8</v>
      </c>
      <c r="AT45" s="195">
        <f t="shared" si="28"/>
        <v>5.4212454212454215E-8</v>
      </c>
      <c r="AU45" s="195">
        <f t="shared" si="29"/>
        <v>5.4325259515570927E-8</v>
      </c>
      <c r="AV45" s="195">
        <f t="shared" si="30"/>
        <v>5.4316546762589927E-8</v>
      </c>
      <c r="AW45" s="291">
        <f t="shared" si="43"/>
        <v>5.4301220590109261E-8</v>
      </c>
      <c r="AX45" s="194"/>
      <c r="AY45" s="194"/>
      <c r="AZ45" s="194"/>
      <c r="BA45" s="194"/>
      <c r="BB45" s="194"/>
      <c r="BC45" s="194"/>
      <c r="BD45" s="194"/>
      <c r="BE45" s="194"/>
    </row>
    <row r="46" spans="1:57" ht="15" customHeight="1" x14ac:dyDescent="0.25">
      <c r="A46" s="279" t="s">
        <v>666</v>
      </c>
      <c r="B46" s="279"/>
      <c r="C46" s="278">
        <v>4.3499999999999999E-8</v>
      </c>
      <c r="D46" s="195">
        <v>4.8300000000000002E-8</v>
      </c>
      <c r="E46" s="195">
        <v>5.0099999999999999E-8</v>
      </c>
      <c r="F46" s="195">
        <v>5.0600000000000003E-8</v>
      </c>
      <c r="G46" s="195">
        <v>5.0600000000000003E-8</v>
      </c>
      <c r="H46" s="195">
        <v>5.0600000000000003E-8</v>
      </c>
      <c r="I46" s="195">
        <v>5.0600000000000003E-8</v>
      </c>
      <c r="J46" s="195">
        <v>5.0600000000000003E-8</v>
      </c>
      <c r="K46" s="195">
        <v>4.0499999999999999E-8</v>
      </c>
      <c r="L46" s="195">
        <v>4.36E-8</v>
      </c>
      <c r="M46" s="195">
        <v>4.66E-8</v>
      </c>
      <c r="N46" s="195">
        <f t="shared" si="31"/>
        <v>3.0419580419580419E-11</v>
      </c>
      <c r="O46" s="195">
        <f t="shared" si="32"/>
        <v>3.0377358490566037E-11</v>
      </c>
      <c r="P46" s="195">
        <f t="shared" si="33"/>
        <v>3.0382049727107336E-11</v>
      </c>
      <c r="Q46" s="195">
        <f t="shared" si="34"/>
        <v>3.0390390390390394E-11</v>
      </c>
      <c r="R46" s="195">
        <f t="shared" si="35"/>
        <v>3.0390390390390394E-11</v>
      </c>
      <c r="S46" s="195">
        <f t="shared" si="36"/>
        <v>3.0390390390390394E-11</v>
      </c>
      <c r="T46" s="195">
        <f t="shared" si="37"/>
        <v>3.0390390390390394E-11</v>
      </c>
      <c r="U46" s="195">
        <f t="shared" si="38"/>
        <v>3.0390390390390394E-11</v>
      </c>
      <c r="V46" s="195">
        <f t="shared" si="39"/>
        <v>3.0405405405405404E-11</v>
      </c>
      <c r="W46" s="195">
        <f t="shared" si="40"/>
        <v>3.0404463040446305E-11</v>
      </c>
      <c r="X46" s="195">
        <f t="shared" si="41"/>
        <v>3.0417754569190598E-11</v>
      </c>
      <c r="Y46" s="292">
        <f t="shared" si="44"/>
        <v>3.0396233054931639E-11</v>
      </c>
      <c r="Z46" s="355"/>
      <c r="AA46" s="278">
        <v>4.2899999999999999E-9</v>
      </c>
      <c r="AB46" s="195">
        <v>1.0800000000000001E-8</v>
      </c>
      <c r="AC46" s="195">
        <v>1.0800000000000001E-8</v>
      </c>
      <c r="AD46" s="195">
        <v>1.02E-8</v>
      </c>
      <c r="AE46" s="195">
        <v>1.02E-8</v>
      </c>
      <c r="AF46" s="195">
        <v>1.02E-8</v>
      </c>
      <c r="AG46" s="195">
        <v>1.02E-8</v>
      </c>
      <c r="AH46" s="195">
        <v>1.02E-8</v>
      </c>
      <c r="AI46" s="195">
        <v>9.53E-9</v>
      </c>
      <c r="AJ46" s="195">
        <v>1.0099999999999999E-8</v>
      </c>
      <c r="AK46" s="195">
        <v>9.6899999999999994E-9</v>
      </c>
      <c r="AL46" s="195">
        <f t="shared" si="20"/>
        <v>3.4878048780487803E-11</v>
      </c>
      <c r="AM46" s="195">
        <f t="shared" si="21"/>
        <v>3.4951456310679616E-11</v>
      </c>
      <c r="AN46" s="195">
        <f t="shared" si="22"/>
        <v>3.4951456310679616E-11</v>
      </c>
      <c r="AO46" s="195">
        <f t="shared" si="23"/>
        <v>3.4812286689419797E-11</v>
      </c>
      <c r="AP46" s="195">
        <f t="shared" si="24"/>
        <v>3.4812286689419797E-11</v>
      </c>
      <c r="AQ46" s="195">
        <f t="shared" si="25"/>
        <v>3.4812286689419797E-11</v>
      </c>
      <c r="AR46" s="195">
        <f t="shared" si="26"/>
        <v>3.4812286689419797E-11</v>
      </c>
      <c r="AS46" s="195">
        <f t="shared" si="27"/>
        <v>3.4812286689419797E-11</v>
      </c>
      <c r="AT46" s="195">
        <f t="shared" si="28"/>
        <v>3.490842490842491E-11</v>
      </c>
      <c r="AU46" s="195">
        <f t="shared" si="29"/>
        <v>3.4948096885813144E-11</v>
      </c>
      <c r="AV46" s="195">
        <f t="shared" si="30"/>
        <v>3.4856115107913669E-11</v>
      </c>
      <c r="AW46" s="292">
        <f t="shared" si="43"/>
        <v>3.4868639250099791E-11</v>
      </c>
      <c r="AX46" s="194"/>
      <c r="AY46" s="194"/>
      <c r="AZ46" s="194"/>
      <c r="BA46" s="194"/>
      <c r="BB46" s="194"/>
      <c r="BC46" s="194"/>
      <c r="BD46" s="194"/>
      <c r="BE46" s="194"/>
    </row>
    <row r="47" spans="1:57" ht="15" customHeight="1" x14ac:dyDescent="0.25">
      <c r="A47" s="279" t="s">
        <v>667</v>
      </c>
      <c r="B47" s="279"/>
      <c r="C47" s="278">
        <v>1.02E-8</v>
      </c>
      <c r="D47" s="195">
        <v>1.13E-8</v>
      </c>
      <c r="E47" s="195">
        <v>1.18E-8</v>
      </c>
      <c r="F47" s="195">
        <v>1.1900000000000001E-8</v>
      </c>
      <c r="G47" s="195">
        <v>1.1900000000000001E-8</v>
      </c>
      <c r="H47" s="195">
        <v>1.1900000000000001E-8</v>
      </c>
      <c r="I47" s="195">
        <v>1.1900000000000001E-8</v>
      </c>
      <c r="J47" s="195">
        <v>1.1900000000000001E-8</v>
      </c>
      <c r="K47" s="195">
        <v>9.4899999999999993E-9</v>
      </c>
      <c r="L47" s="195">
        <v>1.02E-8</v>
      </c>
      <c r="M47" s="195">
        <v>1.09E-8</v>
      </c>
      <c r="N47" s="195">
        <f t="shared" si="31"/>
        <v>7.1328671328671335E-12</v>
      </c>
      <c r="O47" s="195">
        <f t="shared" si="32"/>
        <v>7.1069182389937108E-12</v>
      </c>
      <c r="P47" s="195">
        <f t="shared" si="33"/>
        <v>7.1558520315342632E-12</v>
      </c>
      <c r="Q47" s="195">
        <f t="shared" si="34"/>
        <v>7.1471471471471472E-12</v>
      </c>
      <c r="R47" s="195">
        <f t="shared" si="35"/>
        <v>7.1471471471471472E-12</v>
      </c>
      <c r="S47" s="195">
        <f t="shared" si="36"/>
        <v>7.1471471471471472E-12</v>
      </c>
      <c r="T47" s="195">
        <f t="shared" si="37"/>
        <v>7.1471471471471472E-12</v>
      </c>
      <c r="U47" s="195">
        <f t="shared" si="38"/>
        <v>7.1471471471471472E-12</v>
      </c>
      <c r="V47" s="195">
        <f t="shared" si="39"/>
        <v>7.1246246246246242E-12</v>
      </c>
      <c r="W47" s="195">
        <f t="shared" si="40"/>
        <v>7.1129707112970715E-12</v>
      </c>
      <c r="X47" s="195">
        <f t="shared" si="41"/>
        <v>7.114882506527415E-12</v>
      </c>
      <c r="Y47" s="292">
        <f t="shared" si="44"/>
        <v>7.1348955437799961E-12</v>
      </c>
      <c r="Z47" s="355"/>
      <c r="AA47" s="278">
        <v>1.01E-9</v>
      </c>
      <c r="AB47" s="195">
        <v>2.52E-9</v>
      </c>
      <c r="AC47" s="195">
        <v>2.52E-9</v>
      </c>
      <c r="AD47" s="195">
        <v>2.4E-9</v>
      </c>
      <c r="AE47" s="195">
        <v>2.4E-9</v>
      </c>
      <c r="AF47" s="195">
        <v>2.4E-9</v>
      </c>
      <c r="AG47" s="195">
        <v>2.4E-9</v>
      </c>
      <c r="AH47" s="195">
        <v>2.4E-9</v>
      </c>
      <c r="AI47" s="195">
        <v>2.23E-9</v>
      </c>
      <c r="AJ47" s="195">
        <v>2.3699999999999999E-9</v>
      </c>
      <c r="AK47" s="195">
        <v>2.2699999999999998E-9</v>
      </c>
      <c r="AL47" s="195">
        <f t="shared" si="20"/>
        <v>8.2113821138211392E-12</v>
      </c>
      <c r="AM47" s="195">
        <f t="shared" si="21"/>
        <v>8.1553398058252423E-12</v>
      </c>
      <c r="AN47" s="195">
        <f t="shared" si="22"/>
        <v>8.1553398058252423E-12</v>
      </c>
      <c r="AO47" s="195">
        <f t="shared" si="23"/>
        <v>8.1911262798634806E-12</v>
      </c>
      <c r="AP47" s="195">
        <f t="shared" si="24"/>
        <v>8.1911262798634806E-12</v>
      </c>
      <c r="AQ47" s="195">
        <f t="shared" si="25"/>
        <v>8.1911262798634806E-12</v>
      </c>
      <c r="AR47" s="195">
        <f t="shared" si="26"/>
        <v>8.1911262798634806E-12</v>
      </c>
      <c r="AS47" s="195">
        <f t="shared" si="27"/>
        <v>8.1911262798634806E-12</v>
      </c>
      <c r="AT47" s="195">
        <f t="shared" si="28"/>
        <v>8.1684981684981689E-12</v>
      </c>
      <c r="AU47" s="195">
        <f t="shared" si="29"/>
        <v>8.2006920415224911E-12</v>
      </c>
      <c r="AV47" s="195">
        <f t="shared" si="30"/>
        <v>8.1654676258992804E-12</v>
      </c>
      <c r="AW47" s="292">
        <f t="shared" si="43"/>
        <v>8.1829409964280912E-12</v>
      </c>
      <c r="AX47" s="194"/>
      <c r="AY47" s="194"/>
      <c r="AZ47" s="194"/>
      <c r="BA47" s="194"/>
      <c r="BB47" s="194"/>
      <c r="BC47" s="194"/>
      <c r="BD47" s="194"/>
      <c r="BE47" s="194"/>
    </row>
    <row r="48" spans="1:57" ht="15" customHeight="1" x14ac:dyDescent="0.25">
      <c r="A48" s="279" t="s">
        <v>668</v>
      </c>
      <c r="B48" s="279" t="s">
        <v>715</v>
      </c>
      <c r="C48" s="278">
        <v>7.6300000000000004E-7</v>
      </c>
      <c r="D48" s="195">
        <v>8.47E-7</v>
      </c>
      <c r="E48" s="195">
        <v>8.7899999999999997E-7</v>
      </c>
      <c r="F48" s="195">
        <v>8.8700000000000004E-7</v>
      </c>
      <c r="G48" s="195">
        <v>8.8700000000000004E-7</v>
      </c>
      <c r="H48" s="195">
        <v>8.8700000000000004E-7</v>
      </c>
      <c r="I48" s="195">
        <v>8.8700000000000004E-7</v>
      </c>
      <c r="J48" s="195">
        <v>8.8700000000000004E-7</v>
      </c>
      <c r="K48" s="195">
        <v>7.0999999999999998E-7</v>
      </c>
      <c r="L48" s="195">
        <v>7.6400000000000001E-7</v>
      </c>
      <c r="M48" s="195">
        <v>8.16E-7</v>
      </c>
      <c r="N48" s="195">
        <f t="shared" si="31"/>
        <v>5.3356643356643364E-10</v>
      </c>
      <c r="O48" s="195">
        <f t="shared" si="32"/>
        <v>5.3270440251572331E-10</v>
      </c>
      <c r="P48" s="195">
        <f t="shared" si="33"/>
        <v>5.3305033353547598E-10</v>
      </c>
      <c r="Q48" s="195">
        <f t="shared" si="34"/>
        <v>5.3273273273273275E-10</v>
      </c>
      <c r="R48" s="195">
        <f t="shared" si="35"/>
        <v>5.3273273273273275E-10</v>
      </c>
      <c r="S48" s="195">
        <f t="shared" si="36"/>
        <v>5.3273273273273275E-10</v>
      </c>
      <c r="T48" s="195">
        <f t="shared" si="37"/>
        <v>5.3273273273273275E-10</v>
      </c>
      <c r="U48" s="195">
        <f t="shared" si="38"/>
        <v>5.3273273273273275E-10</v>
      </c>
      <c r="V48" s="195">
        <f t="shared" si="39"/>
        <v>5.33033033033033E-10</v>
      </c>
      <c r="W48" s="195">
        <f t="shared" si="40"/>
        <v>5.3277545327754538E-10</v>
      </c>
      <c r="X48" s="195">
        <f t="shared" si="41"/>
        <v>5.3263707571801565E-10</v>
      </c>
      <c r="Y48" s="291">
        <f t="shared" si="44"/>
        <v>5.3285730866453548E-10</v>
      </c>
      <c r="Z48" s="325"/>
      <c r="AA48" s="278">
        <v>7.5199999999999998E-8</v>
      </c>
      <c r="AB48" s="195">
        <v>1.8900000000000001E-7</v>
      </c>
      <c r="AC48" s="195">
        <v>1.8900000000000001E-7</v>
      </c>
      <c r="AD48" s="195">
        <v>1.79E-7</v>
      </c>
      <c r="AE48" s="195">
        <v>1.79E-7</v>
      </c>
      <c r="AF48" s="195">
        <v>1.79E-7</v>
      </c>
      <c r="AG48" s="195">
        <v>1.79E-7</v>
      </c>
      <c r="AH48" s="195">
        <v>1.79E-7</v>
      </c>
      <c r="AI48" s="195">
        <v>1.67E-7</v>
      </c>
      <c r="AJ48" s="195">
        <v>1.7700000000000001E-7</v>
      </c>
      <c r="AK48" s="195">
        <v>1.6999999999999999E-7</v>
      </c>
      <c r="AL48" s="195">
        <f t="shared" si="20"/>
        <v>6.113821138211382E-10</v>
      </c>
      <c r="AM48" s="195">
        <f t="shared" si="21"/>
        <v>6.1165048543689327E-10</v>
      </c>
      <c r="AN48" s="195">
        <f t="shared" si="22"/>
        <v>6.1165048543689327E-10</v>
      </c>
      <c r="AO48" s="195">
        <f t="shared" si="23"/>
        <v>6.1092150170648462E-10</v>
      </c>
      <c r="AP48" s="195">
        <f t="shared" si="24"/>
        <v>6.1092150170648462E-10</v>
      </c>
      <c r="AQ48" s="195">
        <f t="shared" si="25"/>
        <v>6.1092150170648462E-10</v>
      </c>
      <c r="AR48" s="195">
        <f t="shared" si="26"/>
        <v>6.1092150170648462E-10</v>
      </c>
      <c r="AS48" s="195">
        <f t="shared" si="27"/>
        <v>6.1092150170648462E-10</v>
      </c>
      <c r="AT48" s="195">
        <f t="shared" si="28"/>
        <v>6.117216117216117E-10</v>
      </c>
      <c r="AU48" s="195">
        <f t="shared" si="29"/>
        <v>6.1245674740484436E-10</v>
      </c>
      <c r="AV48" s="195">
        <f t="shared" si="30"/>
        <v>6.1151079136690644E-10</v>
      </c>
      <c r="AW48" s="291">
        <f t="shared" si="43"/>
        <v>6.1136179488370087E-10</v>
      </c>
      <c r="AX48" s="194"/>
      <c r="AY48" s="194"/>
      <c r="AZ48" s="194"/>
      <c r="BA48" s="194"/>
      <c r="BB48" s="194"/>
      <c r="BC48" s="194"/>
      <c r="BD48" s="194"/>
      <c r="BE48" s="194"/>
    </row>
    <row r="49" spans="1:57" ht="15" customHeight="1" x14ac:dyDescent="0.25">
      <c r="A49" s="279" t="s">
        <v>669</v>
      </c>
      <c r="B49" s="279"/>
      <c r="C49" s="278">
        <v>3.9799999999999998E-5</v>
      </c>
      <c r="D49" s="195">
        <v>4.4199999999999997E-5</v>
      </c>
      <c r="E49" s="195">
        <v>4.5800000000000002E-5</v>
      </c>
      <c r="F49" s="195">
        <v>4.6199999999999998E-5</v>
      </c>
      <c r="G49" s="195">
        <v>4.6199999999999998E-5</v>
      </c>
      <c r="H49" s="195">
        <v>4.6199999999999998E-5</v>
      </c>
      <c r="I49" s="195">
        <v>4.6199999999999998E-5</v>
      </c>
      <c r="J49" s="195">
        <v>4.6199999999999998E-5</v>
      </c>
      <c r="K49" s="195">
        <v>3.6999999999999998E-5</v>
      </c>
      <c r="L49" s="195">
        <v>3.9799999999999998E-5</v>
      </c>
      <c r="M49" s="195">
        <v>4.2599999999999999E-5</v>
      </c>
      <c r="N49" s="195">
        <f t="shared" si="31"/>
        <v>2.7832167832167831E-8</v>
      </c>
      <c r="O49" s="195">
        <f t="shared" si="32"/>
        <v>2.7798742138364778E-8</v>
      </c>
      <c r="P49" s="195">
        <f t="shared" si="33"/>
        <v>2.7774408732565191E-8</v>
      </c>
      <c r="Q49" s="195">
        <f t="shared" si="34"/>
        <v>2.7747747747747746E-8</v>
      </c>
      <c r="R49" s="195">
        <f t="shared" si="35"/>
        <v>2.7747747747747746E-8</v>
      </c>
      <c r="S49" s="195">
        <f t="shared" si="36"/>
        <v>2.7747747747747746E-8</v>
      </c>
      <c r="T49" s="195">
        <f t="shared" si="37"/>
        <v>2.7747747747747746E-8</v>
      </c>
      <c r="U49" s="195">
        <f t="shared" si="38"/>
        <v>2.7747747747747746E-8</v>
      </c>
      <c r="V49" s="195">
        <f t="shared" si="39"/>
        <v>2.7777777777777777E-8</v>
      </c>
      <c r="W49" s="195">
        <f t="shared" si="40"/>
        <v>2.7754532775453276E-8</v>
      </c>
      <c r="X49" s="195">
        <f t="shared" si="41"/>
        <v>2.7806788511749345E-8</v>
      </c>
      <c r="Y49" s="292">
        <f t="shared" si="44"/>
        <v>2.7771196046074262E-8</v>
      </c>
      <c r="Z49" s="355"/>
      <c r="AA49" s="278">
        <v>5.6400000000000002E-6</v>
      </c>
      <c r="AB49" s="195">
        <v>1.4100000000000001E-5</v>
      </c>
      <c r="AC49" s="195">
        <v>1.4100000000000001E-5</v>
      </c>
      <c r="AD49" s="195">
        <v>1.34E-5</v>
      </c>
      <c r="AE49" s="195">
        <v>1.34E-5</v>
      </c>
      <c r="AF49" s="195">
        <v>1.34E-5</v>
      </c>
      <c r="AG49" s="195">
        <v>1.34E-5</v>
      </c>
      <c r="AH49" s="195">
        <v>1.34E-5</v>
      </c>
      <c r="AI49" s="195">
        <v>1.2500000000000001E-5</v>
      </c>
      <c r="AJ49" s="195">
        <v>1.33E-5</v>
      </c>
      <c r="AK49" s="195">
        <v>1.27E-5</v>
      </c>
      <c r="AL49" s="195">
        <f t="shared" si="20"/>
        <v>4.5853658536585365E-8</v>
      </c>
      <c r="AM49" s="195">
        <f t="shared" si="21"/>
        <v>4.563106796116505E-8</v>
      </c>
      <c r="AN49" s="195">
        <f t="shared" si="22"/>
        <v>4.563106796116505E-8</v>
      </c>
      <c r="AO49" s="195">
        <f t="shared" si="23"/>
        <v>4.573378839590444E-8</v>
      </c>
      <c r="AP49" s="195">
        <f t="shared" si="24"/>
        <v>4.573378839590444E-8</v>
      </c>
      <c r="AQ49" s="195">
        <f t="shared" si="25"/>
        <v>4.573378839590444E-8</v>
      </c>
      <c r="AR49" s="195">
        <f t="shared" si="26"/>
        <v>4.573378839590444E-8</v>
      </c>
      <c r="AS49" s="195">
        <f t="shared" si="27"/>
        <v>4.573378839590444E-8</v>
      </c>
      <c r="AT49" s="195">
        <f t="shared" si="28"/>
        <v>4.5787545787545787E-8</v>
      </c>
      <c r="AU49" s="195">
        <f t="shared" si="29"/>
        <v>4.6020761245674739E-8</v>
      </c>
      <c r="AV49" s="195">
        <f t="shared" si="30"/>
        <v>4.5683453237410075E-8</v>
      </c>
      <c r="AW49" s="292">
        <f t="shared" si="43"/>
        <v>4.5752408791733471E-8</v>
      </c>
      <c r="AX49" s="194"/>
      <c r="AY49" s="194"/>
      <c r="AZ49" s="194"/>
      <c r="BA49" s="194"/>
      <c r="BB49" s="194"/>
      <c r="BC49" s="194"/>
      <c r="BD49" s="194"/>
      <c r="BE49" s="194"/>
    </row>
    <row r="50" spans="1:57" ht="15" customHeight="1" x14ac:dyDescent="0.25">
      <c r="A50" s="279" t="s">
        <v>565</v>
      </c>
      <c r="B50" s="279" t="s">
        <v>716</v>
      </c>
      <c r="C50" s="278">
        <v>7.9699999999999997E-3</v>
      </c>
      <c r="D50" s="195">
        <v>8.8500000000000002E-3</v>
      </c>
      <c r="E50" s="195">
        <v>9.1800000000000007E-3</v>
      </c>
      <c r="F50" s="195">
        <v>9.2700000000000005E-3</v>
      </c>
      <c r="G50" s="195">
        <v>9.2700000000000005E-3</v>
      </c>
      <c r="H50" s="195">
        <v>9.2700000000000005E-3</v>
      </c>
      <c r="I50" s="195">
        <v>9.2700000000000005E-3</v>
      </c>
      <c r="J50" s="195">
        <v>9.2700000000000005E-3</v>
      </c>
      <c r="K50" s="195">
        <v>7.4200000000000004E-3</v>
      </c>
      <c r="L50" s="195">
        <v>7.9900000000000006E-3</v>
      </c>
      <c r="M50" s="195">
        <v>8.5299999999999994E-3</v>
      </c>
      <c r="N50" s="195">
        <f t="shared" si="31"/>
        <v>5.573426573426573E-6</v>
      </c>
      <c r="O50" s="195">
        <f t="shared" si="32"/>
        <v>5.5660377358490564E-6</v>
      </c>
      <c r="P50" s="195">
        <f t="shared" si="33"/>
        <v>5.5670103092783505E-6</v>
      </c>
      <c r="Q50" s="195">
        <f t="shared" si="34"/>
        <v>5.5675675675675676E-6</v>
      </c>
      <c r="R50" s="195">
        <f t="shared" si="35"/>
        <v>5.5675675675675676E-6</v>
      </c>
      <c r="S50" s="195">
        <f t="shared" si="36"/>
        <v>5.5675675675675676E-6</v>
      </c>
      <c r="T50" s="195">
        <f t="shared" si="37"/>
        <v>5.5675675675675676E-6</v>
      </c>
      <c r="U50" s="195">
        <f t="shared" si="38"/>
        <v>5.5675675675675676E-6</v>
      </c>
      <c r="V50" s="195">
        <f t="shared" si="39"/>
        <v>5.570570570570571E-6</v>
      </c>
      <c r="W50" s="195">
        <f t="shared" si="40"/>
        <v>5.5718270571827058E-6</v>
      </c>
      <c r="X50" s="195">
        <f t="shared" si="41"/>
        <v>5.5678851174934719E-6</v>
      </c>
      <c r="Y50" s="291">
        <f t="shared" si="44"/>
        <v>5.5685995637853238E-6</v>
      </c>
      <c r="Z50" s="325"/>
      <c r="AA50" s="278">
        <v>1.1199999999999999E-3</v>
      </c>
      <c r="AB50" s="195">
        <v>2.8E-3</v>
      </c>
      <c r="AC50" s="195">
        <v>2.8E-3</v>
      </c>
      <c r="AD50" s="195">
        <v>2.66E-3</v>
      </c>
      <c r="AE50" s="195">
        <v>2.66E-3</v>
      </c>
      <c r="AF50" s="195">
        <v>2.66E-3</v>
      </c>
      <c r="AG50" s="195">
        <v>2.66E-3</v>
      </c>
      <c r="AH50" s="195">
        <v>2.66E-3</v>
      </c>
      <c r="AI50" s="195">
        <v>2.48E-3</v>
      </c>
      <c r="AJ50" s="195">
        <v>2.6199999999999999E-3</v>
      </c>
      <c r="AK50" s="195">
        <v>2.5200000000000001E-3</v>
      </c>
      <c r="AL50" s="195">
        <f t="shared" si="20"/>
        <v>9.1056910569105685E-6</v>
      </c>
      <c r="AM50" s="195">
        <f t="shared" si="21"/>
        <v>9.0614886731391585E-6</v>
      </c>
      <c r="AN50" s="195">
        <f t="shared" si="22"/>
        <v>9.0614886731391585E-6</v>
      </c>
      <c r="AO50" s="195">
        <f t="shared" si="23"/>
        <v>9.0784982935153586E-6</v>
      </c>
      <c r="AP50" s="195">
        <f t="shared" si="24"/>
        <v>9.0784982935153586E-6</v>
      </c>
      <c r="AQ50" s="195">
        <f t="shared" si="25"/>
        <v>9.0784982935153586E-6</v>
      </c>
      <c r="AR50" s="195">
        <f t="shared" si="26"/>
        <v>9.0784982935153586E-6</v>
      </c>
      <c r="AS50" s="195">
        <f t="shared" si="27"/>
        <v>9.0784982935153586E-6</v>
      </c>
      <c r="AT50" s="195">
        <f t="shared" si="28"/>
        <v>9.0842490842490844E-6</v>
      </c>
      <c r="AU50" s="195">
        <f t="shared" si="29"/>
        <v>9.0657439446366787E-6</v>
      </c>
      <c r="AV50" s="195">
        <f t="shared" si="30"/>
        <v>9.0647482014388491E-6</v>
      </c>
      <c r="AW50" s="291">
        <f t="shared" si="43"/>
        <v>9.0759910091900275E-6</v>
      </c>
      <c r="AX50" s="194"/>
      <c r="AY50" s="194"/>
      <c r="AZ50" s="194"/>
      <c r="BA50" s="194"/>
      <c r="BB50" s="194"/>
      <c r="BC50" s="194"/>
      <c r="BD50" s="194"/>
      <c r="BE50" s="194"/>
    </row>
    <row r="51" spans="1:57" ht="15" customHeight="1" x14ac:dyDescent="0.25">
      <c r="A51" s="279" t="s">
        <v>670</v>
      </c>
      <c r="B51" s="326" t="s">
        <v>684</v>
      </c>
      <c r="C51" s="278">
        <v>2.1400000000000002E-12</v>
      </c>
      <c r="D51" s="195">
        <v>2.38E-12</v>
      </c>
      <c r="E51" s="195">
        <v>2.4700000000000002E-12</v>
      </c>
      <c r="F51" s="195">
        <v>2.4900000000000001E-12</v>
      </c>
      <c r="G51" s="195">
        <v>2.4900000000000001E-12</v>
      </c>
      <c r="H51" s="195">
        <v>2.4900000000000001E-12</v>
      </c>
      <c r="I51" s="195">
        <v>2.4900000000000001E-12</v>
      </c>
      <c r="J51" s="195">
        <v>2.4900000000000001E-12</v>
      </c>
      <c r="K51" s="195">
        <v>1.9899999999999998E-12</v>
      </c>
      <c r="L51" s="195">
        <v>2.1499999999999999E-12</v>
      </c>
      <c r="M51" s="195">
        <v>2.2900000000000001E-12</v>
      </c>
      <c r="N51" s="195">
        <f t="shared" si="31"/>
        <v>1.4965034965034966E-15</v>
      </c>
      <c r="O51" s="195">
        <f t="shared" si="32"/>
        <v>1.4968553459119497E-15</v>
      </c>
      <c r="P51" s="195">
        <f t="shared" si="33"/>
        <v>1.4978775015160704E-15</v>
      </c>
      <c r="Q51" s="195">
        <f t="shared" si="34"/>
        <v>1.4954954954954955E-15</v>
      </c>
      <c r="R51" s="195">
        <f t="shared" si="35"/>
        <v>1.4954954954954955E-15</v>
      </c>
      <c r="S51" s="195">
        <f t="shared" si="36"/>
        <v>1.4954954954954955E-15</v>
      </c>
      <c r="T51" s="195">
        <f t="shared" si="37"/>
        <v>1.4954954954954955E-15</v>
      </c>
      <c r="U51" s="195">
        <f t="shared" si="38"/>
        <v>1.4954954954954955E-15</v>
      </c>
      <c r="V51" s="195">
        <f t="shared" si="39"/>
        <v>1.4939939939939938E-15</v>
      </c>
      <c r="W51" s="195">
        <f t="shared" si="40"/>
        <v>1.4993026499302649E-15</v>
      </c>
      <c r="X51" s="195">
        <f t="shared" si="41"/>
        <v>1.4947780678851175E-15</v>
      </c>
      <c r="Y51" s="325">
        <f t="shared" si="44"/>
        <v>1.4960716848380338E-15</v>
      </c>
      <c r="Z51" s="325"/>
      <c r="AA51" s="278">
        <v>4.7599999999999999E-13</v>
      </c>
      <c r="AB51" s="195">
        <v>1.19E-12</v>
      </c>
      <c r="AC51" s="195">
        <v>1.19E-12</v>
      </c>
      <c r="AD51" s="195">
        <v>1.13E-12</v>
      </c>
      <c r="AE51" s="195">
        <v>1.13E-12</v>
      </c>
      <c r="AF51" s="195">
        <v>1.13E-12</v>
      </c>
      <c r="AG51" s="195">
        <v>1.13E-12</v>
      </c>
      <c r="AH51" s="195">
        <v>1.13E-12</v>
      </c>
      <c r="AI51" s="195">
        <v>1.0599999999999999E-12</v>
      </c>
      <c r="AJ51" s="195">
        <v>1.1200000000000001E-12</v>
      </c>
      <c r="AK51" s="195">
        <v>1.0700000000000001E-12</v>
      </c>
      <c r="AL51" s="195">
        <f t="shared" si="20"/>
        <v>3.8699186991869919E-15</v>
      </c>
      <c r="AM51" s="195">
        <f t="shared" si="21"/>
        <v>3.851132686084142E-15</v>
      </c>
      <c r="AN51" s="195">
        <f t="shared" si="22"/>
        <v>3.851132686084142E-15</v>
      </c>
      <c r="AO51" s="195">
        <f t="shared" si="23"/>
        <v>3.8566552901023893E-15</v>
      </c>
      <c r="AP51" s="195">
        <f t="shared" si="24"/>
        <v>3.8566552901023893E-15</v>
      </c>
      <c r="AQ51" s="195">
        <f t="shared" si="25"/>
        <v>3.8566552901023893E-15</v>
      </c>
      <c r="AR51" s="195">
        <f t="shared" si="26"/>
        <v>3.8566552901023893E-15</v>
      </c>
      <c r="AS51" s="195">
        <f t="shared" si="27"/>
        <v>3.8566552901023893E-15</v>
      </c>
      <c r="AT51" s="195">
        <f t="shared" si="28"/>
        <v>3.8827838827838827E-15</v>
      </c>
      <c r="AU51" s="195">
        <f t="shared" si="29"/>
        <v>3.8754325259515574E-15</v>
      </c>
      <c r="AV51" s="195">
        <f t="shared" si="30"/>
        <v>3.8489208633093528E-15</v>
      </c>
      <c r="AW51" s="325">
        <f t="shared" si="43"/>
        <v>3.8602361630829107E-15</v>
      </c>
      <c r="AX51" s="194" t="s">
        <v>687</v>
      </c>
      <c r="AY51" s="194"/>
      <c r="AZ51" s="194"/>
      <c r="BA51" s="194"/>
      <c r="BB51" s="194"/>
      <c r="BC51" s="194"/>
      <c r="BD51" s="194"/>
      <c r="BE51" s="194"/>
    </row>
    <row r="52" spans="1:57" ht="15" customHeight="1" x14ac:dyDescent="0.25">
      <c r="A52" s="279" t="s">
        <v>564</v>
      </c>
      <c r="B52" s="279"/>
      <c r="C52" s="285" t="s">
        <v>648</v>
      </c>
      <c r="D52" s="289" t="s">
        <v>680</v>
      </c>
      <c r="E52" s="289" t="s">
        <v>680</v>
      </c>
      <c r="F52" s="289" t="s">
        <v>680</v>
      </c>
      <c r="G52" s="289" t="s">
        <v>680</v>
      </c>
      <c r="H52" s="289" t="s">
        <v>680</v>
      </c>
      <c r="I52" s="289" t="s">
        <v>680</v>
      </c>
      <c r="J52" s="289" t="s">
        <v>680</v>
      </c>
      <c r="K52" s="289" t="s">
        <v>680</v>
      </c>
      <c r="L52" s="289" t="s">
        <v>680</v>
      </c>
      <c r="M52" s="289" t="s">
        <v>680</v>
      </c>
      <c r="N52" s="195" t="s">
        <v>680</v>
      </c>
      <c r="O52" s="195" t="s">
        <v>680</v>
      </c>
      <c r="P52" s="195" t="s">
        <v>680</v>
      </c>
      <c r="Q52" s="195" t="s">
        <v>680</v>
      </c>
      <c r="R52" s="195" t="s">
        <v>680</v>
      </c>
      <c r="S52" s="195" t="s">
        <v>680</v>
      </c>
      <c r="T52" s="195" t="s">
        <v>680</v>
      </c>
      <c r="U52" s="195" t="s">
        <v>680</v>
      </c>
      <c r="V52" s="195" t="s">
        <v>680</v>
      </c>
      <c r="W52" s="195" t="s">
        <v>680</v>
      </c>
      <c r="X52" s="195" t="s">
        <v>680</v>
      </c>
      <c r="Y52" s="194"/>
      <c r="Z52" s="325"/>
      <c r="AA52" s="278">
        <v>6.9500000000000004E-6</v>
      </c>
      <c r="AB52" s="195">
        <v>1.7399999999999999E-5</v>
      </c>
      <c r="AC52" s="195">
        <v>1.7399999999999999E-5</v>
      </c>
      <c r="AD52" s="195">
        <v>1.66E-5</v>
      </c>
      <c r="AE52" s="195">
        <v>1.66E-5</v>
      </c>
      <c r="AF52" s="195">
        <v>1.66E-5</v>
      </c>
      <c r="AG52" s="195">
        <v>1.66E-5</v>
      </c>
      <c r="AH52" s="195">
        <v>1.66E-5</v>
      </c>
      <c r="AI52" s="195">
        <v>1.5400000000000002E-5</v>
      </c>
      <c r="AJ52" s="195">
        <v>1.63E-5</v>
      </c>
      <c r="AK52" s="195">
        <v>1.5699999999999999E-5</v>
      </c>
      <c r="AL52" s="195">
        <f t="shared" si="20"/>
        <v>5.6504065040650407E-8</v>
      </c>
      <c r="AM52" s="195">
        <f t="shared" si="21"/>
        <v>5.6310679611650486E-8</v>
      </c>
      <c r="AN52" s="195">
        <f t="shared" si="22"/>
        <v>5.6310679611650486E-8</v>
      </c>
      <c r="AO52" s="195">
        <f t="shared" si="23"/>
        <v>5.6655290102389078E-8</v>
      </c>
      <c r="AP52" s="195">
        <f t="shared" si="24"/>
        <v>5.6655290102389078E-8</v>
      </c>
      <c r="AQ52" s="195">
        <f t="shared" si="25"/>
        <v>5.6655290102389078E-8</v>
      </c>
      <c r="AR52" s="195">
        <f t="shared" si="26"/>
        <v>5.6655290102389078E-8</v>
      </c>
      <c r="AS52" s="195">
        <f t="shared" si="27"/>
        <v>5.6655290102389078E-8</v>
      </c>
      <c r="AT52" s="195">
        <f t="shared" si="28"/>
        <v>5.6410256410256413E-8</v>
      </c>
      <c r="AU52" s="195">
        <f t="shared" si="29"/>
        <v>5.6401384083044983E-8</v>
      </c>
      <c r="AV52" s="195">
        <f t="shared" si="30"/>
        <v>5.6474820143884888E-8</v>
      </c>
      <c r="AW52" s="292">
        <f t="shared" si="43"/>
        <v>5.6517121401189365E-8</v>
      </c>
      <c r="AX52" s="194"/>
      <c r="AY52" s="194"/>
      <c r="AZ52" s="194"/>
      <c r="BA52" s="194"/>
      <c r="BB52" s="194"/>
      <c r="BC52" s="194"/>
      <c r="BD52" s="194"/>
      <c r="BE52" s="194"/>
    </row>
    <row r="53" spans="1:57" ht="15" customHeight="1" x14ac:dyDescent="0.25">
      <c r="A53" s="279" t="s">
        <v>563</v>
      </c>
      <c r="B53" s="279"/>
      <c r="C53" s="278">
        <v>0.28100000000000003</v>
      </c>
      <c r="D53" s="195">
        <v>0.312</v>
      </c>
      <c r="E53" s="195">
        <v>0.32300000000000001</v>
      </c>
      <c r="F53" s="195">
        <v>0.32600000000000001</v>
      </c>
      <c r="G53" s="195">
        <v>0.32600000000000001</v>
      </c>
      <c r="H53" s="195">
        <v>0.32600000000000001</v>
      </c>
      <c r="I53" s="195">
        <v>0.32600000000000001</v>
      </c>
      <c r="J53" s="195">
        <v>0.32600000000000001</v>
      </c>
      <c r="K53" s="195">
        <v>0.26100000000000001</v>
      </c>
      <c r="L53" s="195">
        <v>0.28100000000000003</v>
      </c>
      <c r="M53" s="195">
        <v>0.3</v>
      </c>
      <c r="N53" s="195">
        <f t="shared" si="31"/>
        <v>1.9650349650349652E-4</v>
      </c>
      <c r="O53" s="195">
        <f t="shared" si="32"/>
        <v>1.9622641509433963E-4</v>
      </c>
      <c r="P53" s="195">
        <f t="shared" si="33"/>
        <v>1.9587628865979381E-4</v>
      </c>
      <c r="Q53" s="195">
        <f t="shared" si="34"/>
        <v>1.9579579579579582E-4</v>
      </c>
      <c r="R53" s="195">
        <f t="shared" si="35"/>
        <v>1.9579579579579582E-4</v>
      </c>
      <c r="S53" s="195">
        <f t="shared" si="36"/>
        <v>1.9579579579579582E-4</v>
      </c>
      <c r="T53" s="195">
        <f t="shared" si="37"/>
        <v>1.9579579579579582E-4</v>
      </c>
      <c r="U53" s="195">
        <f t="shared" si="38"/>
        <v>1.9579579579579582E-4</v>
      </c>
      <c r="V53" s="195">
        <f t="shared" si="39"/>
        <v>1.9594594594594594E-4</v>
      </c>
      <c r="W53" s="195">
        <f t="shared" si="40"/>
        <v>1.9595536959553697E-4</v>
      </c>
      <c r="X53" s="195">
        <f t="shared" si="41"/>
        <v>1.9582245430809398E-4</v>
      </c>
      <c r="Y53" s="292">
        <f t="shared" si="44"/>
        <v>1.9593717718965331E-4</v>
      </c>
      <c r="Z53" s="355"/>
      <c r="AA53" s="278">
        <v>1.26E-2</v>
      </c>
      <c r="AB53" s="195">
        <v>3.1600000000000003E-2</v>
      </c>
      <c r="AC53" s="195">
        <v>3.1600000000000003E-2</v>
      </c>
      <c r="AD53" s="195">
        <v>3.0099999999999998E-2</v>
      </c>
      <c r="AE53" s="195">
        <v>3.0099999999999998E-2</v>
      </c>
      <c r="AF53" s="195">
        <v>3.0099999999999998E-2</v>
      </c>
      <c r="AG53" s="195">
        <v>3.0099999999999998E-2</v>
      </c>
      <c r="AH53" s="195">
        <v>3.0099999999999998E-2</v>
      </c>
      <c r="AI53" s="195">
        <v>2.8000000000000001E-2</v>
      </c>
      <c r="AJ53" s="195">
        <v>2.9700000000000001E-2</v>
      </c>
      <c r="AK53" s="195">
        <v>2.8500000000000001E-2</v>
      </c>
      <c r="AL53" s="195">
        <f t="shared" si="20"/>
        <v>1.0243902439024391E-4</v>
      </c>
      <c r="AM53" s="195">
        <f t="shared" si="21"/>
        <v>1.0226537216828479E-4</v>
      </c>
      <c r="AN53" s="195">
        <f t="shared" si="22"/>
        <v>1.0226537216828479E-4</v>
      </c>
      <c r="AO53" s="195">
        <f t="shared" si="23"/>
        <v>1.0273037542662116E-4</v>
      </c>
      <c r="AP53" s="195">
        <f t="shared" si="24"/>
        <v>1.0273037542662116E-4</v>
      </c>
      <c r="AQ53" s="195">
        <f t="shared" si="25"/>
        <v>1.0273037542662116E-4</v>
      </c>
      <c r="AR53" s="195">
        <f t="shared" si="26"/>
        <v>1.0273037542662116E-4</v>
      </c>
      <c r="AS53" s="195">
        <f t="shared" si="27"/>
        <v>1.0273037542662116E-4</v>
      </c>
      <c r="AT53" s="195">
        <f t="shared" si="28"/>
        <v>1.0256410256410257E-4</v>
      </c>
      <c r="AU53" s="195">
        <f t="shared" si="29"/>
        <v>1.0276816608996541E-4</v>
      </c>
      <c r="AV53" s="195">
        <f t="shared" si="30"/>
        <v>1.0251798561151079E-4</v>
      </c>
      <c r="AW53" s="292">
        <f t="shared" si="43"/>
        <v>1.0258835455686346E-4</v>
      </c>
      <c r="AX53" s="194"/>
      <c r="AY53" s="194"/>
      <c r="AZ53" s="194"/>
      <c r="BA53" s="194"/>
      <c r="BB53" s="194"/>
      <c r="BC53" s="194"/>
      <c r="BD53" s="194"/>
      <c r="BE53" s="194"/>
    </row>
    <row r="54" spans="1:57" ht="15" customHeight="1" x14ac:dyDescent="0.25">
      <c r="A54" s="279" t="s">
        <v>562</v>
      </c>
      <c r="B54" s="279" t="s">
        <v>717</v>
      </c>
      <c r="C54" s="278">
        <v>0.16</v>
      </c>
      <c r="D54" s="195">
        <v>0.17799999999999999</v>
      </c>
      <c r="E54" s="195">
        <v>0.184</v>
      </c>
      <c r="F54" s="195">
        <v>0.186</v>
      </c>
      <c r="G54" s="195">
        <v>0.186</v>
      </c>
      <c r="H54" s="195">
        <v>0.186</v>
      </c>
      <c r="I54" s="195">
        <v>0.186</v>
      </c>
      <c r="J54" s="195">
        <v>0.186</v>
      </c>
      <c r="K54" s="195">
        <v>0.14899999999999999</v>
      </c>
      <c r="L54" s="195">
        <v>0.16</v>
      </c>
      <c r="M54" s="195">
        <v>0.17100000000000001</v>
      </c>
      <c r="N54" s="195">
        <f t="shared" si="31"/>
        <v>1.1188811188811189E-4</v>
      </c>
      <c r="O54" s="195">
        <f t="shared" si="32"/>
        <v>1.1194968553459119E-4</v>
      </c>
      <c r="P54" s="195">
        <f t="shared" si="33"/>
        <v>1.1158277744087325E-4</v>
      </c>
      <c r="Q54" s="195">
        <f t="shared" si="34"/>
        <v>1.1171171171171172E-4</v>
      </c>
      <c r="R54" s="195">
        <f t="shared" si="35"/>
        <v>1.1171171171171172E-4</v>
      </c>
      <c r="S54" s="195">
        <f t="shared" si="36"/>
        <v>1.1171171171171172E-4</v>
      </c>
      <c r="T54" s="195">
        <f t="shared" si="37"/>
        <v>1.1171171171171172E-4</v>
      </c>
      <c r="U54" s="195">
        <f t="shared" si="38"/>
        <v>1.1171171171171172E-4</v>
      </c>
      <c r="V54" s="195">
        <f t="shared" si="39"/>
        <v>1.1186186186186186E-4</v>
      </c>
      <c r="W54" s="195">
        <f t="shared" si="40"/>
        <v>1.1157601115760112E-4</v>
      </c>
      <c r="X54" s="195">
        <f t="shared" si="41"/>
        <v>1.1161879895561358E-4</v>
      </c>
      <c r="Y54" s="291">
        <f t="shared" si="44"/>
        <v>1.1173052776338286E-4</v>
      </c>
      <c r="Z54" s="325"/>
      <c r="AA54" s="278">
        <v>1.0999999999999999E-2</v>
      </c>
      <c r="AB54" s="195">
        <v>2.7699999999999999E-2</v>
      </c>
      <c r="AC54" s="195">
        <v>2.7699999999999999E-2</v>
      </c>
      <c r="AD54" s="195">
        <v>2.63E-2</v>
      </c>
      <c r="AE54" s="195">
        <v>2.63E-2</v>
      </c>
      <c r="AF54" s="195">
        <v>2.63E-2</v>
      </c>
      <c r="AG54" s="195">
        <v>2.63E-2</v>
      </c>
      <c r="AH54" s="195">
        <v>2.63E-2</v>
      </c>
      <c r="AI54" s="195">
        <v>2.4500000000000001E-2</v>
      </c>
      <c r="AJ54" s="195">
        <v>2.5899999999999999E-2</v>
      </c>
      <c r="AK54" s="195">
        <v>2.4899999999999999E-2</v>
      </c>
      <c r="AL54" s="195">
        <f t="shared" si="20"/>
        <v>8.9430894308943079E-5</v>
      </c>
      <c r="AM54" s="195">
        <f t="shared" si="21"/>
        <v>8.9644012944983814E-5</v>
      </c>
      <c r="AN54" s="195">
        <f t="shared" si="22"/>
        <v>8.9644012944983814E-5</v>
      </c>
      <c r="AO54" s="195">
        <f t="shared" si="23"/>
        <v>8.9761092150170656E-5</v>
      </c>
      <c r="AP54" s="195">
        <f t="shared" si="24"/>
        <v>8.9761092150170656E-5</v>
      </c>
      <c r="AQ54" s="195">
        <f t="shared" si="25"/>
        <v>8.9761092150170656E-5</v>
      </c>
      <c r="AR54" s="195">
        <f t="shared" si="26"/>
        <v>8.9761092150170656E-5</v>
      </c>
      <c r="AS54" s="195">
        <f t="shared" si="27"/>
        <v>8.9761092150170656E-5</v>
      </c>
      <c r="AT54" s="195">
        <f t="shared" si="28"/>
        <v>8.9743589743589749E-5</v>
      </c>
      <c r="AU54" s="195">
        <f t="shared" si="29"/>
        <v>8.9619377162629752E-5</v>
      </c>
      <c r="AV54" s="195">
        <f t="shared" si="30"/>
        <v>8.9568345323741004E-5</v>
      </c>
      <c r="AW54" s="291">
        <f t="shared" si="43"/>
        <v>8.9677790289065894E-5</v>
      </c>
      <c r="AX54" s="194"/>
      <c r="AY54" s="194"/>
      <c r="AZ54" s="194"/>
      <c r="BA54" s="194"/>
      <c r="BB54" s="194"/>
      <c r="BC54" s="194"/>
      <c r="BD54" s="194"/>
      <c r="BE54" s="194"/>
    </row>
    <row r="55" spans="1:57" ht="15" customHeight="1" x14ac:dyDescent="0.25">
      <c r="A55" s="279" t="s">
        <v>671</v>
      </c>
      <c r="B55" s="279" t="s">
        <v>718</v>
      </c>
      <c r="C55" s="278">
        <v>6.3199999999999999E-10</v>
      </c>
      <c r="D55" s="195">
        <v>7.0199999999999995E-10</v>
      </c>
      <c r="E55" s="195">
        <v>7.2799999999999997E-10</v>
      </c>
      <c r="F55" s="195">
        <v>7.3500000000000005E-10</v>
      </c>
      <c r="G55" s="195">
        <v>7.3500000000000005E-10</v>
      </c>
      <c r="H55" s="195">
        <v>7.3500000000000005E-10</v>
      </c>
      <c r="I55" s="195">
        <v>7.3500000000000005E-10</v>
      </c>
      <c r="J55" s="195">
        <v>7.3500000000000005E-10</v>
      </c>
      <c r="K55" s="195">
        <v>5.8800000000000004E-10</v>
      </c>
      <c r="L55" s="195">
        <v>6.3299999999999999E-10</v>
      </c>
      <c r="M55" s="195">
        <v>6.7600000000000004E-10</v>
      </c>
      <c r="N55" s="195">
        <f t="shared" si="31"/>
        <v>4.4195804195804194E-13</v>
      </c>
      <c r="O55" s="195">
        <f t="shared" si="32"/>
        <v>4.4150943396226412E-13</v>
      </c>
      <c r="P55" s="195">
        <f t="shared" si="33"/>
        <v>4.414796846573681E-13</v>
      </c>
      <c r="Q55" s="195">
        <f t="shared" si="34"/>
        <v>4.4144144144144146E-13</v>
      </c>
      <c r="R55" s="195">
        <f t="shared" si="35"/>
        <v>4.4144144144144146E-13</v>
      </c>
      <c r="S55" s="195">
        <f t="shared" si="36"/>
        <v>4.4144144144144146E-13</v>
      </c>
      <c r="T55" s="195">
        <f t="shared" si="37"/>
        <v>4.4144144144144146E-13</v>
      </c>
      <c r="U55" s="195">
        <f t="shared" si="38"/>
        <v>4.4144144144144146E-13</v>
      </c>
      <c r="V55" s="195">
        <f t="shared" si="39"/>
        <v>4.4144144144144146E-13</v>
      </c>
      <c r="W55" s="195">
        <f t="shared" si="40"/>
        <v>4.4142259414225939E-13</v>
      </c>
      <c r="X55" s="195">
        <f t="shared" si="41"/>
        <v>4.4125326370757184E-13</v>
      </c>
      <c r="Y55" s="291">
        <f t="shared" si="44"/>
        <v>4.4147924246146861E-13</v>
      </c>
      <c r="Z55" s="325"/>
      <c r="AA55" s="278">
        <v>6.2399999999999999E-11</v>
      </c>
      <c r="AB55" s="195">
        <v>1.56E-10</v>
      </c>
      <c r="AC55" s="195">
        <v>1.56E-10</v>
      </c>
      <c r="AD55" s="195">
        <v>1.49E-10</v>
      </c>
      <c r="AE55" s="195">
        <v>1.49E-10</v>
      </c>
      <c r="AF55" s="195">
        <v>1.49E-10</v>
      </c>
      <c r="AG55" s="195">
        <v>1.49E-10</v>
      </c>
      <c r="AH55" s="195">
        <v>1.49E-10</v>
      </c>
      <c r="AI55" s="195">
        <v>1.3799999999999999E-10</v>
      </c>
      <c r="AJ55" s="195">
        <v>1.4700000000000001E-10</v>
      </c>
      <c r="AK55" s="195">
        <v>1.41E-10</v>
      </c>
      <c r="AL55" s="195">
        <f t="shared" si="20"/>
        <v>5.0731707317073171E-13</v>
      </c>
      <c r="AM55" s="195">
        <f t="shared" si="21"/>
        <v>5.0485436893203882E-13</v>
      </c>
      <c r="AN55" s="195">
        <f t="shared" si="22"/>
        <v>5.0485436893203882E-13</v>
      </c>
      <c r="AO55" s="195">
        <f t="shared" si="23"/>
        <v>5.0853242320819113E-13</v>
      </c>
      <c r="AP55" s="195">
        <f t="shared" si="24"/>
        <v>5.0853242320819113E-13</v>
      </c>
      <c r="AQ55" s="195">
        <f t="shared" si="25"/>
        <v>5.0853242320819113E-13</v>
      </c>
      <c r="AR55" s="195">
        <f t="shared" si="26"/>
        <v>5.0853242320819113E-13</v>
      </c>
      <c r="AS55" s="195">
        <f t="shared" si="27"/>
        <v>5.0853242320819113E-13</v>
      </c>
      <c r="AT55" s="195">
        <f t="shared" si="28"/>
        <v>5.0549450549450549E-13</v>
      </c>
      <c r="AU55" s="195">
        <f t="shared" si="29"/>
        <v>5.086505190311419E-13</v>
      </c>
      <c r="AV55" s="195">
        <f t="shared" si="30"/>
        <v>5.0719424460431653E-13</v>
      </c>
      <c r="AW55" s="291">
        <f t="shared" si="43"/>
        <v>5.0736610874597535E-13</v>
      </c>
      <c r="AX55" s="194"/>
      <c r="AY55" s="194"/>
      <c r="AZ55" s="194"/>
      <c r="BA55" s="194"/>
      <c r="BB55" s="194"/>
      <c r="BC55" s="194"/>
      <c r="BD55" s="194"/>
      <c r="BE55" s="194"/>
    </row>
    <row r="56" spans="1:57" ht="15" customHeight="1" x14ac:dyDescent="0.25">
      <c r="A56" s="279" t="s">
        <v>672</v>
      </c>
      <c r="B56" s="279"/>
      <c r="C56" s="278">
        <v>3.2800000000000003E-8</v>
      </c>
      <c r="D56" s="195">
        <v>3.6400000000000002E-8</v>
      </c>
      <c r="E56" s="195">
        <v>3.7800000000000001E-8</v>
      </c>
      <c r="F56" s="195">
        <v>3.8099999999999997E-8</v>
      </c>
      <c r="G56" s="195">
        <v>3.8099999999999997E-8</v>
      </c>
      <c r="H56" s="195">
        <v>3.8099999999999997E-8</v>
      </c>
      <c r="I56" s="195">
        <v>3.8099999999999997E-8</v>
      </c>
      <c r="J56" s="195">
        <v>3.8099999999999997E-8</v>
      </c>
      <c r="K56" s="195">
        <v>3.0500000000000002E-8</v>
      </c>
      <c r="L56" s="195">
        <v>3.2899999999999997E-8</v>
      </c>
      <c r="M56" s="195">
        <v>3.5100000000000003E-8</v>
      </c>
      <c r="N56" s="195">
        <f t="shared" si="31"/>
        <v>2.293706293706294E-11</v>
      </c>
      <c r="O56" s="195">
        <f t="shared" si="32"/>
        <v>2.2893081761006289E-11</v>
      </c>
      <c r="P56" s="195">
        <f t="shared" si="33"/>
        <v>2.2922983626440266E-11</v>
      </c>
      <c r="Q56" s="195">
        <f t="shared" si="34"/>
        <v>2.288288288288288E-11</v>
      </c>
      <c r="R56" s="195">
        <f t="shared" si="35"/>
        <v>2.288288288288288E-11</v>
      </c>
      <c r="S56" s="195">
        <f t="shared" si="36"/>
        <v>2.288288288288288E-11</v>
      </c>
      <c r="T56" s="195">
        <f t="shared" si="37"/>
        <v>2.288288288288288E-11</v>
      </c>
      <c r="U56" s="195">
        <f t="shared" si="38"/>
        <v>2.288288288288288E-11</v>
      </c>
      <c r="V56" s="195">
        <f t="shared" si="39"/>
        <v>2.2897897897897899E-11</v>
      </c>
      <c r="W56" s="195">
        <f t="shared" si="40"/>
        <v>2.2942817294281728E-11</v>
      </c>
      <c r="X56" s="195">
        <f t="shared" si="41"/>
        <v>2.2911227154046998E-11</v>
      </c>
      <c r="Y56" s="292">
        <f t="shared" si="44"/>
        <v>2.2901771371377316E-11</v>
      </c>
      <c r="Z56" s="355"/>
      <c r="AA56" s="278">
        <v>3.2299999999999998E-9</v>
      </c>
      <c r="AB56" s="195">
        <v>8.1099999999999995E-9</v>
      </c>
      <c r="AC56" s="195">
        <v>8.1099999999999995E-9</v>
      </c>
      <c r="AD56" s="195">
        <v>7.7099999999999992E-9</v>
      </c>
      <c r="AE56" s="195">
        <v>7.7099999999999992E-9</v>
      </c>
      <c r="AF56" s="195">
        <v>7.7099999999999992E-9</v>
      </c>
      <c r="AG56" s="195">
        <v>7.7099999999999992E-9</v>
      </c>
      <c r="AH56" s="195">
        <v>7.7099999999999992E-9</v>
      </c>
      <c r="AI56" s="195">
        <v>7.1799999999999996E-9</v>
      </c>
      <c r="AJ56" s="195">
        <v>7.61E-9</v>
      </c>
      <c r="AK56" s="195">
        <v>7.3E-9</v>
      </c>
      <c r="AL56" s="195">
        <f t="shared" si="20"/>
        <v>2.6260162601626016E-11</v>
      </c>
      <c r="AM56" s="195">
        <f t="shared" si="21"/>
        <v>2.6245954692556632E-11</v>
      </c>
      <c r="AN56" s="195">
        <f t="shared" si="22"/>
        <v>2.6245954692556632E-11</v>
      </c>
      <c r="AO56" s="195">
        <f t="shared" si="23"/>
        <v>2.6313993174061431E-11</v>
      </c>
      <c r="AP56" s="195">
        <f t="shared" si="24"/>
        <v>2.6313993174061431E-11</v>
      </c>
      <c r="AQ56" s="195">
        <f t="shared" si="25"/>
        <v>2.6313993174061431E-11</v>
      </c>
      <c r="AR56" s="195">
        <f t="shared" si="26"/>
        <v>2.6313993174061431E-11</v>
      </c>
      <c r="AS56" s="195">
        <f t="shared" si="27"/>
        <v>2.6313993174061431E-11</v>
      </c>
      <c r="AT56" s="195">
        <f t="shared" si="28"/>
        <v>2.6300366300366299E-11</v>
      </c>
      <c r="AU56" s="195">
        <f t="shared" si="29"/>
        <v>2.6332179930795846E-11</v>
      </c>
      <c r="AV56" s="195">
        <f t="shared" si="30"/>
        <v>2.6258992805755395E-11</v>
      </c>
      <c r="AW56" s="292">
        <f t="shared" si="43"/>
        <v>2.6292143353996722E-11</v>
      </c>
      <c r="AX56" s="194"/>
      <c r="AY56" s="194"/>
      <c r="AZ56" s="194"/>
      <c r="BA56" s="194"/>
      <c r="BB56" s="194"/>
      <c r="BC56" s="194"/>
      <c r="BD56" s="194"/>
      <c r="BE56" s="194"/>
    </row>
    <row r="57" spans="1:57" ht="15" customHeight="1" x14ac:dyDescent="0.25">
      <c r="A57" s="279" t="s">
        <v>673</v>
      </c>
      <c r="B57" s="326" t="s">
        <v>743</v>
      </c>
      <c r="C57" s="278">
        <v>2.82E-11</v>
      </c>
      <c r="D57" s="195">
        <v>3.1400000000000003E-11</v>
      </c>
      <c r="E57" s="195">
        <v>3.2499999999999998E-11</v>
      </c>
      <c r="F57" s="195">
        <v>3.2799999999999999E-11</v>
      </c>
      <c r="G57" s="195">
        <v>3.2799999999999999E-11</v>
      </c>
      <c r="H57" s="195">
        <v>3.2799999999999999E-11</v>
      </c>
      <c r="I57" s="195">
        <v>3.2799999999999999E-11</v>
      </c>
      <c r="J57" s="195">
        <v>3.2799999999999999E-11</v>
      </c>
      <c r="K57" s="195">
        <v>2.6299999999999999E-11</v>
      </c>
      <c r="L57" s="195">
        <v>2.8299999999999999E-11</v>
      </c>
      <c r="M57" s="195">
        <v>3.0200000000000003E-11</v>
      </c>
      <c r="N57" s="195">
        <f t="shared" si="31"/>
        <v>1.9720279720279721E-14</v>
      </c>
      <c r="O57" s="195">
        <f t="shared" si="32"/>
        <v>1.9748427672955977E-14</v>
      </c>
      <c r="P57" s="195">
        <f t="shared" si="33"/>
        <v>1.9708914493632503E-14</v>
      </c>
      <c r="Q57" s="195">
        <f t="shared" si="34"/>
        <v>1.9699699699699701E-14</v>
      </c>
      <c r="R57" s="195">
        <f t="shared" si="35"/>
        <v>1.9699699699699701E-14</v>
      </c>
      <c r="S57" s="195">
        <f t="shared" si="36"/>
        <v>1.9699699699699701E-14</v>
      </c>
      <c r="T57" s="195">
        <f t="shared" si="37"/>
        <v>1.9699699699699701E-14</v>
      </c>
      <c r="U57" s="195">
        <f t="shared" si="38"/>
        <v>1.9699699699699701E-14</v>
      </c>
      <c r="V57" s="195">
        <f t="shared" si="39"/>
        <v>1.9744744744744743E-14</v>
      </c>
      <c r="W57" s="195">
        <f t="shared" si="40"/>
        <v>1.9735006973500697E-14</v>
      </c>
      <c r="X57" s="195">
        <f t="shared" si="41"/>
        <v>1.9712793733681465E-14</v>
      </c>
      <c r="Y57" s="325">
        <f t="shared" si="44"/>
        <v>1.9715333257935782E-14</v>
      </c>
      <c r="Z57" s="325"/>
      <c r="AA57" s="278">
        <v>6.2799999999999999E-12</v>
      </c>
      <c r="AB57" s="195">
        <v>1.5700000000000001E-11</v>
      </c>
      <c r="AC57" s="195">
        <v>1.5700000000000001E-11</v>
      </c>
      <c r="AD57" s="195">
        <v>1.5E-11</v>
      </c>
      <c r="AE57" s="195">
        <v>1.5E-11</v>
      </c>
      <c r="AF57" s="195">
        <v>1.5E-11</v>
      </c>
      <c r="AG57" s="195">
        <v>1.5E-11</v>
      </c>
      <c r="AH57" s="195">
        <v>1.5E-11</v>
      </c>
      <c r="AI57" s="195">
        <v>1.39E-11</v>
      </c>
      <c r="AJ57" s="195">
        <v>1.48E-11</v>
      </c>
      <c r="AK57" s="195">
        <v>1.42E-11</v>
      </c>
      <c r="AL57" s="195">
        <f t="shared" si="20"/>
        <v>5.1056910569105689E-14</v>
      </c>
      <c r="AM57" s="195">
        <f t="shared" si="21"/>
        <v>5.0809061488673146E-14</v>
      </c>
      <c r="AN57" s="195">
        <f t="shared" si="22"/>
        <v>5.0809061488673146E-14</v>
      </c>
      <c r="AO57" s="195">
        <f t="shared" si="23"/>
        <v>5.1194539249146758E-14</v>
      </c>
      <c r="AP57" s="195">
        <f t="shared" si="24"/>
        <v>5.1194539249146758E-14</v>
      </c>
      <c r="AQ57" s="195">
        <f t="shared" si="25"/>
        <v>5.1194539249146758E-14</v>
      </c>
      <c r="AR57" s="195">
        <f t="shared" si="26"/>
        <v>5.1194539249146758E-14</v>
      </c>
      <c r="AS57" s="195">
        <f t="shared" si="27"/>
        <v>5.1194539249146758E-14</v>
      </c>
      <c r="AT57" s="195">
        <f t="shared" si="28"/>
        <v>5.0915750915750918E-14</v>
      </c>
      <c r="AU57" s="195">
        <f t="shared" si="29"/>
        <v>5.121107266435986E-14</v>
      </c>
      <c r="AV57" s="195">
        <f t="shared" si="30"/>
        <v>5.1079136690647482E-14</v>
      </c>
      <c r="AW57" s="325">
        <f t="shared" si="43"/>
        <v>5.1077608187540374E-14</v>
      </c>
      <c r="AX57" s="194" t="s">
        <v>687</v>
      </c>
      <c r="AY57" s="194"/>
      <c r="AZ57" s="194"/>
      <c r="BA57" s="194"/>
      <c r="BB57" s="194"/>
      <c r="BC57" s="194"/>
      <c r="BD57" s="194"/>
      <c r="BE57" s="194"/>
    </row>
    <row r="58" spans="1:57" ht="15" customHeight="1" x14ac:dyDescent="0.25">
      <c r="A58" s="279" t="s">
        <v>674</v>
      </c>
      <c r="B58" s="279" t="s">
        <v>719</v>
      </c>
      <c r="C58" s="278">
        <v>3.3999999999999998E-3</v>
      </c>
      <c r="D58" s="195">
        <v>3.7699999999999999E-3</v>
      </c>
      <c r="E58" s="195">
        <v>3.9100000000000003E-3</v>
      </c>
      <c r="F58" s="195">
        <v>3.9500000000000004E-3</v>
      </c>
      <c r="G58" s="195">
        <v>3.9500000000000004E-3</v>
      </c>
      <c r="H58" s="195">
        <v>3.9500000000000004E-3</v>
      </c>
      <c r="I58" s="195">
        <v>3.9500000000000004E-3</v>
      </c>
      <c r="J58" s="195">
        <v>3.9500000000000004E-3</v>
      </c>
      <c r="K58" s="195">
        <v>3.16E-3</v>
      </c>
      <c r="L58" s="195">
        <v>3.3999999999999998E-3</v>
      </c>
      <c r="M58" s="195">
        <v>3.63E-3</v>
      </c>
      <c r="N58" s="195">
        <f t="shared" si="31"/>
        <v>2.3776223776223774E-6</v>
      </c>
      <c r="O58" s="195">
        <f t="shared" si="32"/>
        <v>2.371069182389937E-6</v>
      </c>
      <c r="P58" s="195">
        <f t="shared" si="33"/>
        <v>2.371134020618557E-6</v>
      </c>
      <c r="Q58" s="195">
        <f t="shared" si="34"/>
        <v>2.3723723723723727E-6</v>
      </c>
      <c r="R58" s="195">
        <f t="shared" si="35"/>
        <v>2.3723723723723727E-6</v>
      </c>
      <c r="S58" s="195">
        <f t="shared" si="36"/>
        <v>2.3723723723723727E-6</v>
      </c>
      <c r="T58" s="195">
        <f t="shared" si="37"/>
        <v>2.3723723723723727E-6</v>
      </c>
      <c r="U58" s="195">
        <f t="shared" si="38"/>
        <v>2.3723723723723727E-6</v>
      </c>
      <c r="V58" s="195">
        <f t="shared" si="39"/>
        <v>2.3723723723723723E-6</v>
      </c>
      <c r="W58" s="195">
        <f t="shared" si="40"/>
        <v>2.3709902370990235E-6</v>
      </c>
      <c r="X58" s="195">
        <f t="shared" si="41"/>
        <v>2.3694516971279375E-6</v>
      </c>
      <c r="Y58" s="291">
        <f t="shared" si="44"/>
        <v>2.3722274317356426E-6</v>
      </c>
      <c r="Z58" s="325"/>
      <c r="AA58" s="278">
        <v>3.3500000000000001E-4</v>
      </c>
      <c r="AB58" s="195">
        <v>8.4000000000000003E-4</v>
      </c>
      <c r="AC58" s="195">
        <v>8.4000000000000003E-4</v>
      </c>
      <c r="AD58" s="195">
        <v>7.9799999999999999E-4</v>
      </c>
      <c r="AE58" s="195">
        <v>7.9799999999999999E-4</v>
      </c>
      <c r="AF58" s="195">
        <v>7.9799999999999999E-4</v>
      </c>
      <c r="AG58" s="195">
        <v>7.9799999999999999E-4</v>
      </c>
      <c r="AH58" s="195">
        <v>7.9799999999999999E-4</v>
      </c>
      <c r="AI58" s="195">
        <v>7.4399999999999998E-4</v>
      </c>
      <c r="AJ58" s="195">
        <v>7.8799999999999996E-4</v>
      </c>
      <c r="AK58" s="195">
        <v>7.5600000000000005E-4</v>
      </c>
      <c r="AL58" s="195">
        <f t="shared" si="20"/>
        <v>2.7235772357723578E-6</v>
      </c>
      <c r="AM58" s="195">
        <f t="shared" si="21"/>
        <v>2.7184466019417478E-6</v>
      </c>
      <c r="AN58" s="195">
        <f t="shared" si="22"/>
        <v>2.7184466019417478E-6</v>
      </c>
      <c r="AO58" s="195">
        <f t="shared" si="23"/>
        <v>2.7235494880546076E-6</v>
      </c>
      <c r="AP58" s="195">
        <f t="shared" si="24"/>
        <v>2.7235494880546076E-6</v>
      </c>
      <c r="AQ58" s="195">
        <f t="shared" si="25"/>
        <v>2.7235494880546076E-6</v>
      </c>
      <c r="AR58" s="195">
        <f t="shared" si="26"/>
        <v>2.7235494880546076E-6</v>
      </c>
      <c r="AS58" s="195">
        <f t="shared" si="27"/>
        <v>2.7235494880546076E-6</v>
      </c>
      <c r="AT58" s="195">
        <f t="shared" si="28"/>
        <v>2.7252747252747251E-6</v>
      </c>
      <c r="AU58" s="195">
        <f t="shared" si="29"/>
        <v>2.7266435986159169E-6</v>
      </c>
      <c r="AV58" s="195">
        <f t="shared" si="30"/>
        <v>2.7194244604316547E-6</v>
      </c>
      <c r="AW58" s="291">
        <f t="shared" si="43"/>
        <v>2.7226873331137441E-6</v>
      </c>
      <c r="AX58" s="194"/>
      <c r="AY58" s="194"/>
      <c r="AZ58" s="194"/>
      <c r="BA58" s="194"/>
      <c r="BB58" s="194"/>
      <c r="BC58" s="194"/>
      <c r="BD58" s="194"/>
      <c r="BE58" s="194"/>
    </row>
    <row r="59" spans="1:57" ht="15" customHeight="1" x14ac:dyDescent="0.25">
      <c r="A59" s="279" t="s">
        <v>675</v>
      </c>
      <c r="B59" s="279" t="s">
        <v>720</v>
      </c>
      <c r="C59" s="278">
        <v>6.1600000000000002E-9</v>
      </c>
      <c r="D59" s="195">
        <v>6.8500000000000001E-9</v>
      </c>
      <c r="E59" s="195">
        <v>7.0999999999999999E-9</v>
      </c>
      <c r="F59" s="195">
        <v>7.1699999999999998E-9</v>
      </c>
      <c r="G59" s="195">
        <v>7.1699999999999998E-9</v>
      </c>
      <c r="H59" s="195">
        <v>7.1699999999999998E-9</v>
      </c>
      <c r="I59" s="195">
        <v>7.1699999999999998E-9</v>
      </c>
      <c r="J59" s="195">
        <v>7.1699999999999998E-9</v>
      </c>
      <c r="K59" s="195">
        <v>5.7399999999999996E-9</v>
      </c>
      <c r="L59" s="195">
        <v>6.1799999999999998E-9</v>
      </c>
      <c r="M59" s="195">
        <v>6.6000000000000004E-9</v>
      </c>
      <c r="N59" s="195">
        <f t="shared" si="31"/>
        <v>4.3076923076923079E-12</v>
      </c>
      <c r="O59" s="195">
        <f t="shared" si="32"/>
        <v>4.3081761006289308E-12</v>
      </c>
      <c r="P59" s="195">
        <f t="shared" si="33"/>
        <v>4.30563978168587E-12</v>
      </c>
      <c r="Q59" s="195">
        <f t="shared" si="34"/>
        <v>4.3063063063063066E-12</v>
      </c>
      <c r="R59" s="195">
        <f t="shared" si="35"/>
        <v>4.3063063063063066E-12</v>
      </c>
      <c r="S59" s="195">
        <f t="shared" si="36"/>
        <v>4.3063063063063066E-12</v>
      </c>
      <c r="T59" s="195">
        <f t="shared" si="37"/>
        <v>4.3063063063063066E-12</v>
      </c>
      <c r="U59" s="195">
        <f t="shared" si="38"/>
        <v>4.3063063063063066E-12</v>
      </c>
      <c r="V59" s="195">
        <f t="shared" si="39"/>
        <v>4.3093093093093091E-12</v>
      </c>
      <c r="W59" s="195">
        <f t="shared" si="40"/>
        <v>4.3096234309623428E-12</v>
      </c>
      <c r="X59" s="195">
        <f t="shared" si="41"/>
        <v>4.3080939947780685E-12</v>
      </c>
      <c r="Y59" s="291">
        <f t="shared" si="44"/>
        <v>4.3072787687807613E-12</v>
      </c>
      <c r="Z59" s="325"/>
      <c r="AA59" s="278">
        <v>6.0799999999999997E-10</v>
      </c>
      <c r="AB59" s="195">
        <v>1.5300000000000001E-9</v>
      </c>
      <c r="AC59" s="195">
        <v>1.5300000000000001E-9</v>
      </c>
      <c r="AD59" s="195">
        <v>1.45E-9</v>
      </c>
      <c r="AE59" s="195">
        <v>1.45E-9</v>
      </c>
      <c r="AF59" s="195">
        <v>1.45E-9</v>
      </c>
      <c r="AG59" s="195">
        <v>1.45E-9</v>
      </c>
      <c r="AH59" s="195">
        <v>1.45E-9</v>
      </c>
      <c r="AI59" s="195">
        <v>1.3500000000000001E-9</v>
      </c>
      <c r="AJ59" s="195">
        <v>1.43E-9</v>
      </c>
      <c r="AK59" s="195">
        <v>1.37E-9</v>
      </c>
      <c r="AL59" s="195">
        <f t="shared" si="20"/>
        <v>4.9430894308943091E-12</v>
      </c>
      <c r="AM59" s="195">
        <f t="shared" si="21"/>
        <v>4.951456310679612E-12</v>
      </c>
      <c r="AN59" s="195">
        <f t="shared" si="22"/>
        <v>4.951456310679612E-12</v>
      </c>
      <c r="AO59" s="195">
        <f t="shared" si="23"/>
        <v>4.9488054607508535E-12</v>
      </c>
      <c r="AP59" s="195">
        <f t="shared" si="24"/>
        <v>4.9488054607508535E-12</v>
      </c>
      <c r="AQ59" s="195">
        <f t="shared" si="25"/>
        <v>4.9488054607508535E-12</v>
      </c>
      <c r="AR59" s="195">
        <f t="shared" si="26"/>
        <v>4.9488054607508535E-12</v>
      </c>
      <c r="AS59" s="195">
        <f t="shared" si="27"/>
        <v>4.9488054607508535E-12</v>
      </c>
      <c r="AT59" s="195">
        <f t="shared" si="28"/>
        <v>4.9450549450549453E-12</v>
      </c>
      <c r="AU59" s="195">
        <f t="shared" si="29"/>
        <v>4.9480968858131486E-12</v>
      </c>
      <c r="AV59" s="195">
        <f t="shared" si="30"/>
        <v>4.9280575539568347E-12</v>
      </c>
      <c r="AW59" s="291">
        <f t="shared" si="43"/>
        <v>4.9464762491666119E-12</v>
      </c>
      <c r="AX59" s="194"/>
      <c r="AY59" s="194"/>
      <c r="AZ59" s="194"/>
      <c r="BA59" s="194"/>
      <c r="BB59" s="194"/>
      <c r="BC59" s="194"/>
      <c r="BD59" s="194"/>
      <c r="BE59" s="194"/>
    </row>
    <row r="60" spans="1:57" ht="15" customHeight="1" x14ac:dyDescent="0.25">
      <c r="A60" s="279" t="s">
        <v>676</v>
      </c>
      <c r="B60" s="279" t="s">
        <v>721</v>
      </c>
      <c r="C60" s="278">
        <v>6.2E-4</v>
      </c>
      <c r="D60" s="195">
        <v>6.8800000000000003E-4</v>
      </c>
      <c r="E60" s="195">
        <v>7.1400000000000001E-4</v>
      </c>
      <c r="F60" s="195">
        <v>7.2099999999999996E-4</v>
      </c>
      <c r="G60" s="195">
        <v>7.2099999999999996E-4</v>
      </c>
      <c r="H60" s="195">
        <v>7.2099999999999996E-4</v>
      </c>
      <c r="I60" s="195">
        <v>7.2099999999999996E-4</v>
      </c>
      <c r="J60" s="195">
        <v>7.2099999999999996E-4</v>
      </c>
      <c r="K60" s="195">
        <v>5.7700000000000004E-4</v>
      </c>
      <c r="L60" s="195">
        <v>6.2100000000000002E-4</v>
      </c>
      <c r="M60" s="195">
        <v>6.6299999999999996E-4</v>
      </c>
      <c r="N60" s="195">
        <f t="shared" si="31"/>
        <v>4.3356643356643355E-7</v>
      </c>
      <c r="O60" s="195">
        <f t="shared" si="32"/>
        <v>4.327044025157233E-7</v>
      </c>
      <c r="P60" s="195">
        <f t="shared" si="33"/>
        <v>4.3298969072164947E-7</v>
      </c>
      <c r="Q60" s="195">
        <f t="shared" si="34"/>
        <v>4.3303303303303301E-7</v>
      </c>
      <c r="R60" s="195">
        <f t="shared" si="35"/>
        <v>4.3303303303303301E-7</v>
      </c>
      <c r="S60" s="195">
        <f t="shared" si="36"/>
        <v>4.3303303303303301E-7</v>
      </c>
      <c r="T60" s="195">
        <f t="shared" si="37"/>
        <v>4.3303303303303301E-7</v>
      </c>
      <c r="U60" s="195">
        <f t="shared" si="38"/>
        <v>4.3303303303303301E-7</v>
      </c>
      <c r="V60" s="195">
        <f t="shared" si="39"/>
        <v>4.3318318318318323E-7</v>
      </c>
      <c r="W60" s="195">
        <f t="shared" si="40"/>
        <v>4.3305439330543937E-7</v>
      </c>
      <c r="X60" s="195">
        <f t="shared" si="41"/>
        <v>4.3276762402088771E-7</v>
      </c>
      <c r="Y60" s="291">
        <f t="shared" si="44"/>
        <v>4.3303917204349846E-7</v>
      </c>
      <c r="Z60" s="325"/>
      <c r="AA60" s="278">
        <v>7.1500000000000003E-5</v>
      </c>
      <c r="AB60" s="195">
        <v>1.7899999999999999E-4</v>
      </c>
      <c r="AC60" s="195">
        <v>1.7899999999999999E-4</v>
      </c>
      <c r="AD60" s="195">
        <v>1.7000000000000001E-4</v>
      </c>
      <c r="AE60" s="195">
        <v>1.7000000000000001E-4</v>
      </c>
      <c r="AF60" s="195">
        <v>1.7000000000000001E-4</v>
      </c>
      <c r="AG60" s="195">
        <v>1.7000000000000001E-4</v>
      </c>
      <c r="AH60" s="195">
        <v>1.7000000000000001E-4</v>
      </c>
      <c r="AI60" s="195">
        <v>1.5899999999999999E-4</v>
      </c>
      <c r="AJ60" s="195">
        <v>1.6799999999999999E-4</v>
      </c>
      <c r="AK60" s="195">
        <v>1.6100000000000001E-4</v>
      </c>
      <c r="AL60" s="195">
        <f t="shared" si="20"/>
        <v>5.8130081300813007E-7</v>
      </c>
      <c r="AM60" s="195">
        <f t="shared" si="21"/>
        <v>5.7928802588996765E-7</v>
      </c>
      <c r="AN60" s="195">
        <f t="shared" si="22"/>
        <v>5.7928802588996765E-7</v>
      </c>
      <c r="AO60" s="195">
        <f t="shared" si="23"/>
        <v>5.8020477815699665E-7</v>
      </c>
      <c r="AP60" s="195">
        <f t="shared" si="24"/>
        <v>5.8020477815699665E-7</v>
      </c>
      <c r="AQ60" s="195">
        <f t="shared" si="25"/>
        <v>5.8020477815699665E-7</v>
      </c>
      <c r="AR60" s="195">
        <f t="shared" si="26"/>
        <v>5.8020477815699665E-7</v>
      </c>
      <c r="AS60" s="195">
        <f t="shared" si="27"/>
        <v>5.8020477815699665E-7</v>
      </c>
      <c r="AT60" s="195">
        <f t="shared" si="28"/>
        <v>5.8241758241758233E-7</v>
      </c>
      <c r="AU60" s="195">
        <f t="shared" si="29"/>
        <v>5.8131487889273357E-7</v>
      </c>
      <c r="AV60" s="195">
        <f t="shared" si="30"/>
        <v>5.7913669064748204E-7</v>
      </c>
      <c r="AW60" s="291">
        <f t="shared" si="43"/>
        <v>5.8034271886644062E-7</v>
      </c>
      <c r="AX60" s="194"/>
      <c r="AY60" s="194"/>
      <c r="AZ60" s="194"/>
      <c r="BA60" s="194"/>
      <c r="BB60" s="194"/>
      <c r="BC60" s="194"/>
      <c r="BD60" s="194"/>
      <c r="BE60" s="194"/>
    </row>
    <row r="61" spans="1:57" ht="15" customHeight="1" x14ac:dyDescent="0.25">
      <c r="A61" s="279" t="s">
        <v>677</v>
      </c>
      <c r="B61" s="326" t="s">
        <v>683</v>
      </c>
      <c r="C61" s="278">
        <v>1.27E-10</v>
      </c>
      <c r="D61" s="195">
        <v>1.41E-10</v>
      </c>
      <c r="E61" s="195">
        <v>1.4600000000000001E-10</v>
      </c>
      <c r="F61" s="195">
        <v>1.4700000000000001E-10</v>
      </c>
      <c r="G61" s="195">
        <v>1.4700000000000001E-10</v>
      </c>
      <c r="H61" s="195">
        <v>1.4700000000000001E-10</v>
      </c>
      <c r="I61" s="195">
        <v>1.4700000000000001E-10</v>
      </c>
      <c r="J61" s="195">
        <v>1.4700000000000001E-10</v>
      </c>
      <c r="K61" s="195">
        <v>1.1800000000000001E-10</v>
      </c>
      <c r="L61" s="195">
        <v>1.27E-10</v>
      </c>
      <c r="M61" s="195">
        <v>1.35E-10</v>
      </c>
      <c r="N61" s="195">
        <f t="shared" si="31"/>
        <v>8.8811188811188815E-14</v>
      </c>
      <c r="O61" s="195">
        <f t="shared" si="32"/>
        <v>8.8679245283018867E-14</v>
      </c>
      <c r="P61" s="195">
        <f t="shared" si="33"/>
        <v>8.8538508186779869E-14</v>
      </c>
      <c r="Q61" s="195">
        <f t="shared" si="34"/>
        <v>8.8288288288288297E-14</v>
      </c>
      <c r="R61" s="195">
        <f t="shared" si="35"/>
        <v>8.8288288288288297E-14</v>
      </c>
      <c r="S61" s="195">
        <f t="shared" si="36"/>
        <v>8.8288288288288297E-14</v>
      </c>
      <c r="T61" s="195">
        <f t="shared" si="37"/>
        <v>8.8288288288288297E-14</v>
      </c>
      <c r="U61" s="195">
        <f t="shared" si="38"/>
        <v>8.8288288288288297E-14</v>
      </c>
      <c r="V61" s="195">
        <f t="shared" si="39"/>
        <v>8.858858858858859E-14</v>
      </c>
      <c r="W61" s="195">
        <f t="shared" si="40"/>
        <v>8.8563458856345885E-14</v>
      </c>
      <c r="X61" s="195">
        <f t="shared" si="41"/>
        <v>8.8120104438642296E-14</v>
      </c>
      <c r="Y61" s="325">
        <f t="shared" si="44"/>
        <v>8.8431139600545997E-14</v>
      </c>
      <c r="Z61" s="325"/>
      <c r="AA61" s="278">
        <v>2.8099999999999999E-11</v>
      </c>
      <c r="AB61" s="195">
        <v>7.0599999999999994E-11</v>
      </c>
      <c r="AC61" s="195">
        <v>7.0599999999999994E-11</v>
      </c>
      <c r="AD61" s="195">
        <v>6.7000000000000001E-11</v>
      </c>
      <c r="AE61" s="195">
        <v>6.7000000000000001E-11</v>
      </c>
      <c r="AF61" s="195">
        <v>6.7000000000000001E-11</v>
      </c>
      <c r="AG61" s="195">
        <v>6.7000000000000001E-11</v>
      </c>
      <c r="AH61" s="195">
        <v>6.7000000000000001E-11</v>
      </c>
      <c r="AI61" s="195">
        <v>6.2399999999999999E-11</v>
      </c>
      <c r="AJ61" s="195">
        <v>6.6200000000000001E-11</v>
      </c>
      <c r="AK61" s="195">
        <v>6.35E-11</v>
      </c>
      <c r="AL61" s="195">
        <f t="shared" si="20"/>
        <v>2.2845528455284552E-13</v>
      </c>
      <c r="AM61" s="195">
        <f t="shared" si="21"/>
        <v>2.2847896440129449E-13</v>
      </c>
      <c r="AN61" s="195">
        <f t="shared" si="22"/>
        <v>2.2847896440129449E-13</v>
      </c>
      <c r="AO61" s="195">
        <f t="shared" si="23"/>
        <v>2.2866894197952221E-13</v>
      </c>
      <c r="AP61" s="195">
        <f t="shared" si="24"/>
        <v>2.2866894197952221E-13</v>
      </c>
      <c r="AQ61" s="195">
        <f t="shared" si="25"/>
        <v>2.2866894197952221E-13</v>
      </c>
      <c r="AR61" s="195">
        <f t="shared" si="26"/>
        <v>2.2866894197952221E-13</v>
      </c>
      <c r="AS61" s="195">
        <f t="shared" si="27"/>
        <v>2.2866894197952221E-13</v>
      </c>
      <c r="AT61" s="195">
        <f t="shared" si="28"/>
        <v>2.2857142857142855E-13</v>
      </c>
      <c r="AU61" s="195">
        <f t="shared" si="29"/>
        <v>2.2906574394463667E-13</v>
      </c>
      <c r="AV61" s="195">
        <f t="shared" si="30"/>
        <v>2.2841726618705038E-13</v>
      </c>
      <c r="AW61" s="325">
        <f t="shared" si="43"/>
        <v>2.286193056323783E-13</v>
      </c>
      <c r="AX61" s="194" t="s">
        <v>687</v>
      </c>
      <c r="AY61" s="194"/>
      <c r="AZ61" s="194"/>
      <c r="BA61" s="194"/>
      <c r="BB61" s="194"/>
      <c r="BC61" s="194"/>
      <c r="BD61" s="194"/>
      <c r="BE61" s="194"/>
    </row>
    <row r="62" spans="1:57" ht="15" customHeight="1" x14ac:dyDescent="0.25">
      <c r="A62" s="279" t="s">
        <v>560</v>
      </c>
      <c r="B62" s="279" t="s">
        <v>722</v>
      </c>
      <c r="C62" s="278">
        <v>5.8600000000000004E-4</v>
      </c>
      <c r="D62" s="195">
        <v>6.4999999999999997E-4</v>
      </c>
      <c r="E62" s="195">
        <v>6.7500000000000004E-4</v>
      </c>
      <c r="F62" s="195">
        <v>6.8099999999999996E-4</v>
      </c>
      <c r="G62" s="195">
        <v>6.8099999999999996E-4</v>
      </c>
      <c r="H62" s="195">
        <v>6.8099999999999996E-4</v>
      </c>
      <c r="I62" s="195">
        <v>6.8099999999999996E-4</v>
      </c>
      <c r="J62" s="195">
        <v>6.8099999999999996E-4</v>
      </c>
      <c r="K62" s="195">
        <v>5.4500000000000002E-4</v>
      </c>
      <c r="L62" s="195">
        <v>5.8699999999999996E-4</v>
      </c>
      <c r="M62" s="195">
        <v>6.2699999999999995E-4</v>
      </c>
      <c r="N62" s="195">
        <f t="shared" si="31"/>
        <v>4.0979020979020983E-7</v>
      </c>
      <c r="O62" s="195">
        <f t="shared" si="32"/>
        <v>4.0880503144654089E-7</v>
      </c>
      <c r="P62" s="195">
        <f t="shared" si="33"/>
        <v>4.093389933292905E-7</v>
      </c>
      <c r="Q62" s="195">
        <f t="shared" si="34"/>
        <v>4.0900900900900898E-7</v>
      </c>
      <c r="R62" s="195">
        <f t="shared" si="35"/>
        <v>4.0900900900900898E-7</v>
      </c>
      <c r="S62" s="195">
        <f t="shared" si="36"/>
        <v>4.0900900900900898E-7</v>
      </c>
      <c r="T62" s="195">
        <f t="shared" si="37"/>
        <v>4.0900900900900898E-7</v>
      </c>
      <c r="U62" s="195">
        <f t="shared" si="38"/>
        <v>4.0900900900900898E-7</v>
      </c>
      <c r="V62" s="195">
        <f t="shared" si="39"/>
        <v>4.091591591591592E-7</v>
      </c>
      <c r="W62" s="195">
        <f t="shared" si="40"/>
        <v>4.0934449093444904E-7</v>
      </c>
      <c r="X62" s="195">
        <f t="shared" si="41"/>
        <v>4.0926892950391641E-7</v>
      </c>
      <c r="Y62" s="291">
        <f>AVERAGE(N62:X62)-Y45</f>
        <v>3.7478402556720043E-7</v>
      </c>
      <c r="Z62" s="325"/>
      <c r="AA62" s="278">
        <v>8.3900000000000006E-5</v>
      </c>
      <c r="AB62" s="195">
        <v>2.1000000000000001E-4</v>
      </c>
      <c r="AC62" s="195">
        <v>2.1000000000000001E-4</v>
      </c>
      <c r="AD62" s="195">
        <v>2.0000000000000001E-4</v>
      </c>
      <c r="AE62" s="195">
        <v>2.0000000000000001E-4</v>
      </c>
      <c r="AF62" s="195">
        <v>2.0000000000000001E-4</v>
      </c>
      <c r="AG62" s="195">
        <v>2.0000000000000001E-4</v>
      </c>
      <c r="AH62" s="195">
        <v>2.0000000000000001E-4</v>
      </c>
      <c r="AI62" s="195">
        <v>1.8599999999999999E-4</v>
      </c>
      <c r="AJ62" s="195">
        <v>1.9699999999999999E-4</v>
      </c>
      <c r="AK62" s="195">
        <v>1.8900000000000001E-4</v>
      </c>
      <c r="AL62" s="195">
        <f t="shared" si="20"/>
        <v>6.8211382113821148E-7</v>
      </c>
      <c r="AM62" s="195">
        <f t="shared" si="21"/>
        <v>6.7961165048543695E-7</v>
      </c>
      <c r="AN62" s="195">
        <f t="shared" si="22"/>
        <v>6.7961165048543695E-7</v>
      </c>
      <c r="AO62" s="195">
        <f t="shared" si="23"/>
        <v>6.8259385665529008E-7</v>
      </c>
      <c r="AP62" s="195">
        <f t="shared" si="24"/>
        <v>6.8259385665529008E-7</v>
      </c>
      <c r="AQ62" s="195">
        <f t="shared" si="25"/>
        <v>6.8259385665529008E-7</v>
      </c>
      <c r="AR62" s="195">
        <f t="shared" si="26"/>
        <v>6.8259385665529008E-7</v>
      </c>
      <c r="AS62" s="195">
        <f t="shared" si="27"/>
        <v>6.8259385665529008E-7</v>
      </c>
      <c r="AT62" s="195">
        <f t="shared" si="28"/>
        <v>6.8131868131868127E-7</v>
      </c>
      <c r="AU62" s="195">
        <f t="shared" si="29"/>
        <v>6.8166089965397922E-7</v>
      </c>
      <c r="AV62" s="195">
        <f t="shared" si="30"/>
        <v>6.7985611510791368E-7</v>
      </c>
      <c r="AW62" s="291">
        <f>AVERAGE(AL62:AV62)-AW45</f>
        <v>6.272571522704462E-7</v>
      </c>
      <c r="AX62" s="194"/>
      <c r="AY62" s="194"/>
      <c r="AZ62" s="194"/>
      <c r="BA62" s="194"/>
      <c r="BB62" s="194"/>
      <c r="BC62" s="194"/>
      <c r="BD62" s="194"/>
      <c r="BE62" s="194"/>
    </row>
    <row r="63" spans="1:57" ht="15" customHeight="1" x14ac:dyDescent="0.25">
      <c r="A63" s="279" t="s">
        <v>678</v>
      </c>
      <c r="B63" s="326" t="s">
        <v>682</v>
      </c>
      <c r="C63" s="278">
        <v>6.2299999999999994E-11</v>
      </c>
      <c r="D63" s="195">
        <v>6.9200000000000004E-11</v>
      </c>
      <c r="E63" s="195">
        <v>7.18E-11</v>
      </c>
      <c r="F63" s="195">
        <v>7.2499999999999995E-11</v>
      </c>
      <c r="G63" s="195">
        <v>7.2499999999999995E-11</v>
      </c>
      <c r="H63" s="195">
        <v>7.2499999999999995E-11</v>
      </c>
      <c r="I63" s="195">
        <v>7.2499999999999995E-11</v>
      </c>
      <c r="J63" s="195">
        <v>7.2499999999999995E-11</v>
      </c>
      <c r="K63" s="195">
        <v>5.8E-11</v>
      </c>
      <c r="L63" s="195">
        <v>6.2500000000000004E-11</v>
      </c>
      <c r="M63" s="195">
        <v>6.67E-11</v>
      </c>
      <c r="N63" s="195">
        <f t="shared" si="31"/>
        <v>4.3566433566433561E-14</v>
      </c>
      <c r="O63" s="195">
        <f t="shared" si="32"/>
        <v>4.3522012578616358E-14</v>
      </c>
      <c r="P63" s="195">
        <f t="shared" si="33"/>
        <v>4.3541540327471198E-14</v>
      </c>
      <c r="Q63" s="195">
        <f t="shared" si="34"/>
        <v>4.3543543543543544E-14</v>
      </c>
      <c r="R63" s="195">
        <f t="shared" si="35"/>
        <v>4.3543543543543544E-14</v>
      </c>
      <c r="S63" s="195">
        <f t="shared" si="36"/>
        <v>4.3543543543543544E-14</v>
      </c>
      <c r="T63" s="195">
        <f t="shared" si="37"/>
        <v>4.3543543543543544E-14</v>
      </c>
      <c r="U63" s="195">
        <f t="shared" si="38"/>
        <v>4.3543543543543544E-14</v>
      </c>
      <c r="V63" s="195">
        <f t="shared" si="39"/>
        <v>4.3543543543543544E-14</v>
      </c>
      <c r="W63" s="195">
        <f t="shared" si="40"/>
        <v>4.3584379358437938E-14</v>
      </c>
      <c r="X63" s="195">
        <f t="shared" si="41"/>
        <v>4.35378590078329E-14</v>
      </c>
      <c r="Y63" s="325">
        <f t="shared" si="44"/>
        <v>4.3546680554550283E-14</v>
      </c>
      <c r="Z63" s="325"/>
      <c r="AA63" s="278">
        <v>1.39E-11</v>
      </c>
      <c r="AB63" s="195">
        <v>3.47E-11</v>
      </c>
      <c r="AC63" s="195">
        <v>3.47E-11</v>
      </c>
      <c r="AD63" s="195">
        <v>3.3000000000000002E-11</v>
      </c>
      <c r="AE63" s="195">
        <v>3.3000000000000002E-11</v>
      </c>
      <c r="AF63" s="195">
        <v>3.3000000000000002E-11</v>
      </c>
      <c r="AG63" s="195">
        <v>3.3000000000000002E-11</v>
      </c>
      <c r="AH63" s="195">
        <v>3.3000000000000002E-11</v>
      </c>
      <c r="AI63" s="195">
        <v>3.0700000000000001E-11</v>
      </c>
      <c r="AJ63" s="195">
        <v>3.2600000000000002E-11</v>
      </c>
      <c r="AK63" s="195">
        <v>3.1299999999999998E-11</v>
      </c>
      <c r="AL63" s="195">
        <f t="shared" si="20"/>
        <v>1.1300813008130081E-13</v>
      </c>
      <c r="AM63" s="195">
        <f t="shared" si="21"/>
        <v>1.1229773462783172E-13</v>
      </c>
      <c r="AN63" s="195">
        <f t="shared" si="22"/>
        <v>1.1229773462783172E-13</v>
      </c>
      <c r="AO63" s="195">
        <f t="shared" si="23"/>
        <v>1.1262798634812287E-13</v>
      </c>
      <c r="AP63" s="195">
        <f t="shared" si="24"/>
        <v>1.1262798634812287E-13</v>
      </c>
      <c r="AQ63" s="195">
        <f t="shared" si="25"/>
        <v>1.1262798634812287E-13</v>
      </c>
      <c r="AR63" s="195">
        <f t="shared" si="26"/>
        <v>1.1262798634812287E-13</v>
      </c>
      <c r="AS63" s="195">
        <f t="shared" si="27"/>
        <v>1.1262798634812287E-13</v>
      </c>
      <c r="AT63" s="195">
        <f t="shared" si="28"/>
        <v>1.1245421245421245E-13</v>
      </c>
      <c r="AU63" s="195">
        <f t="shared" si="29"/>
        <v>1.1280276816608997E-13</v>
      </c>
      <c r="AV63" s="195">
        <f t="shared" si="30"/>
        <v>1.1258992805755394E-13</v>
      </c>
      <c r="AW63" s="325">
        <f t="shared" si="43"/>
        <v>1.1259913088685771E-13</v>
      </c>
      <c r="AX63" s="194" t="s">
        <v>687</v>
      </c>
      <c r="AY63" s="194"/>
      <c r="AZ63" s="194"/>
      <c r="BA63" s="194"/>
      <c r="BB63" s="194"/>
      <c r="BC63" s="194"/>
      <c r="BD63" s="194"/>
      <c r="BE63" s="194"/>
    </row>
    <row r="64" spans="1:57" ht="15" customHeight="1" x14ac:dyDescent="0.25">
      <c r="A64" s="286" t="s">
        <v>559</v>
      </c>
      <c r="B64" s="279"/>
      <c r="D64" s="195"/>
      <c r="E64" s="195"/>
      <c r="F64" s="195"/>
      <c r="G64" s="195"/>
      <c r="H64" s="195"/>
      <c r="I64" s="195"/>
      <c r="J64" s="195"/>
      <c r="K64" s="289" t="s">
        <v>680</v>
      </c>
      <c r="L64" s="289" t="s">
        <v>680</v>
      </c>
      <c r="M64" s="289" t="s">
        <v>680</v>
      </c>
      <c r="N64" s="195"/>
      <c r="O64" s="195"/>
      <c r="P64" s="195"/>
      <c r="Q64" s="195"/>
      <c r="R64" s="195"/>
      <c r="S64" s="195"/>
      <c r="T64" s="195"/>
      <c r="U64" s="195"/>
      <c r="V64" s="195"/>
      <c r="W64" s="195"/>
      <c r="X64" s="195"/>
      <c r="Y64" s="194"/>
      <c r="Z64" s="325"/>
      <c r="AB64" s="195"/>
      <c r="AC64" s="195"/>
      <c r="AD64" s="195"/>
      <c r="AE64" s="195"/>
      <c r="AF64" s="195"/>
      <c r="AG64" s="195"/>
      <c r="AH64" s="195"/>
      <c r="AI64" s="289"/>
      <c r="AJ64" s="289"/>
      <c r="AK64" s="289"/>
      <c r="AL64" s="195"/>
      <c r="AM64" s="195"/>
      <c r="AN64" s="195"/>
      <c r="AO64" s="195"/>
      <c r="AP64" s="195"/>
      <c r="AQ64" s="195"/>
      <c r="AR64" s="195"/>
      <c r="AS64" s="195"/>
      <c r="AT64" s="195"/>
      <c r="AU64" s="195"/>
      <c r="AV64" s="195"/>
      <c r="AW64" s="194"/>
      <c r="AX64" s="194"/>
      <c r="AY64" s="194"/>
      <c r="AZ64" s="194"/>
      <c r="BA64" s="194"/>
      <c r="BB64" s="194"/>
      <c r="BC64" s="194"/>
      <c r="BD64" s="194"/>
      <c r="BE64" s="194"/>
    </row>
    <row r="65" spans="1:57" ht="15" customHeight="1" x14ac:dyDescent="0.25">
      <c r="A65" s="279" t="s">
        <v>679</v>
      </c>
      <c r="B65" s="279" t="s">
        <v>723</v>
      </c>
      <c r="C65" s="278">
        <v>9.5699999999999995E-5</v>
      </c>
      <c r="D65" s="195">
        <v>1.06E-4</v>
      </c>
      <c r="E65" s="195">
        <v>1.1E-4</v>
      </c>
      <c r="F65" s="195">
        <v>1.11E-4</v>
      </c>
      <c r="G65" s="195">
        <v>1.11E-4</v>
      </c>
      <c r="H65" s="195">
        <v>1.11E-4</v>
      </c>
      <c r="I65" s="195">
        <v>1.11E-4</v>
      </c>
      <c r="J65" s="195">
        <v>1.11E-4</v>
      </c>
      <c r="K65" s="195">
        <v>8.8999999999999995E-5</v>
      </c>
      <c r="L65" s="195">
        <v>9.59E-5</v>
      </c>
      <c r="M65" s="195">
        <v>1.02E-4</v>
      </c>
      <c r="N65" s="195">
        <f t="shared" si="31"/>
        <v>6.6923076923076926E-8</v>
      </c>
      <c r="O65" s="195">
        <f t="shared" si="32"/>
        <v>6.6666666666666668E-8</v>
      </c>
      <c r="P65" s="195">
        <f t="shared" si="33"/>
        <v>6.6707095209217711E-8</v>
      </c>
      <c r="Q65" s="195">
        <f t="shared" si="34"/>
        <v>6.6666666666666668E-8</v>
      </c>
      <c r="R65" s="195">
        <f t="shared" si="35"/>
        <v>6.6666666666666668E-8</v>
      </c>
      <c r="S65" s="195">
        <f t="shared" si="36"/>
        <v>6.6666666666666668E-8</v>
      </c>
      <c r="T65" s="195">
        <f t="shared" si="37"/>
        <v>6.6666666666666668E-8</v>
      </c>
      <c r="U65" s="195">
        <f t="shared" si="38"/>
        <v>6.6666666666666668E-8</v>
      </c>
      <c r="V65" s="195">
        <f t="shared" si="39"/>
        <v>6.681681681681681E-8</v>
      </c>
      <c r="W65" s="195">
        <f t="shared" si="40"/>
        <v>6.6875871687587165E-8</v>
      </c>
      <c r="X65" s="195">
        <f t="shared" si="41"/>
        <v>6.6579634464751957E-8</v>
      </c>
      <c r="Y65" s="291">
        <f t="shared" si="44"/>
        <v>6.6718408645586423E-8</v>
      </c>
      <c r="Z65" s="325"/>
      <c r="AA65" s="278">
        <v>9.4399999999999994E-6</v>
      </c>
      <c r="AB65" s="195">
        <v>2.37E-5</v>
      </c>
      <c r="AC65" s="195">
        <v>2.37E-5</v>
      </c>
      <c r="AD65" s="195">
        <v>2.2500000000000001E-5</v>
      </c>
      <c r="AE65" s="195">
        <v>2.2500000000000001E-5</v>
      </c>
      <c r="AF65" s="195">
        <v>2.2500000000000001E-5</v>
      </c>
      <c r="AG65" s="195">
        <v>2.2500000000000001E-5</v>
      </c>
      <c r="AH65" s="195">
        <v>2.2500000000000001E-5</v>
      </c>
      <c r="AI65" s="195">
        <v>2.0999999999999999E-5</v>
      </c>
      <c r="AJ65" s="195">
        <v>2.2200000000000001E-5</v>
      </c>
      <c r="AK65" s="195">
        <v>2.1299999999999999E-5</v>
      </c>
      <c r="AL65" s="195">
        <f t="shared" si="20"/>
        <v>7.6747967479674791E-8</v>
      </c>
      <c r="AM65" s="195">
        <f t="shared" si="21"/>
        <v>7.669902912621359E-8</v>
      </c>
      <c r="AN65" s="195">
        <f t="shared" si="22"/>
        <v>7.669902912621359E-8</v>
      </c>
      <c r="AO65" s="195">
        <f t="shared" si="23"/>
        <v>7.6791808873720145E-8</v>
      </c>
      <c r="AP65" s="195">
        <f t="shared" si="24"/>
        <v>7.6791808873720145E-8</v>
      </c>
      <c r="AQ65" s="195">
        <f t="shared" si="25"/>
        <v>7.6791808873720145E-8</v>
      </c>
      <c r="AR65" s="195">
        <f t="shared" si="26"/>
        <v>7.6791808873720145E-8</v>
      </c>
      <c r="AS65" s="195">
        <f t="shared" si="27"/>
        <v>7.6791808873720145E-8</v>
      </c>
      <c r="AT65" s="195">
        <f t="shared" si="28"/>
        <v>7.6923076923076923E-8</v>
      </c>
      <c r="AU65" s="195">
        <f t="shared" si="29"/>
        <v>7.6816608996539794E-8</v>
      </c>
      <c r="AV65" s="195">
        <f t="shared" si="30"/>
        <v>7.6618705035971221E-8</v>
      </c>
      <c r="AW65" s="291">
        <f t="shared" si="43"/>
        <v>7.6769405550571883E-8</v>
      </c>
      <c r="AX65" s="194"/>
      <c r="AY65" s="194"/>
      <c r="AZ65" s="194"/>
      <c r="BA65" s="194"/>
      <c r="BB65" s="194"/>
      <c r="BC65" s="194"/>
      <c r="BD65" s="194"/>
      <c r="BE65" s="194"/>
    </row>
    <row r="66" spans="1:57" x14ac:dyDescent="0.25">
      <c r="N66" s="322"/>
      <c r="O66" s="322"/>
      <c r="P66" s="322"/>
      <c r="Q66" s="322"/>
      <c r="R66" s="322"/>
      <c r="S66" s="322"/>
      <c r="T66" s="322"/>
      <c r="U66" s="322"/>
      <c r="V66" s="322"/>
      <c r="W66" s="322"/>
      <c r="X66" s="322"/>
      <c r="AB66" s="287"/>
      <c r="AL66" s="322"/>
      <c r="AM66" s="322"/>
      <c r="AN66" s="322"/>
      <c r="AO66" s="322"/>
      <c r="AP66" s="322"/>
      <c r="AQ66" s="322"/>
      <c r="AR66" s="322"/>
      <c r="AS66" s="322"/>
      <c r="AT66" s="322"/>
      <c r="AU66" s="322"/>
      <c r="AV66" s="322"/>
      <c r="AW66" s="194"/>
    </row>
    <row r="67" spans="1:57" x14ac:dyDescent="0.25">
      <c r="K67" s="288"/>
      <c r="L67" s="288"/>
      <c r="M67" s="288"/>
      <c r="N67" s="322"/>
      <c r="O67" s="322"/>
      <c r="P67" s="322"/>
      <c r="Q67" s="322"/>
      <c r="R67" s="322"/>
      <c r="S67" s="322"/>
      <c r="T67" s="322"/>
      <c r="U67" s="322"/>
      <c r="V67" s="322"/>
      <c r="W67" s="322"/>
      <c r="X67" s="322"/>
    </row>
    <row r="68" spans="1:57" x14ac:dyDescent="0.25">
      <c r="N68" s="322"/>
      <c r="O68" s="322"/>
      <c r="P68" s="322"/>
      <c r="Q68" s="322"/>
      <c r="R68" s="322"/>
      <c r="S68" s="322"/>
      <c r="T68" s="322"/>
      <c r="U68" s="322"/>
      <c r="V68" s="322"/>
      <c r="W68" s="322"/>
      <c r="X68" s="322"/>
      <c r="AA68" s="194"/>
      <c r="AB68" s="194"/>
      <c r="AC68" s="194"/>
    </row>
    <row r="69" spans="1:57" x14ac:dyDescent="0.25">
      <c r="AA69" s="194"/>
      <c r="AB69" s="194"/>
      <c r="AC69" s="194"/>
    </row>
  </sheetData>
  <mergeCells count="7">
    <mergeCell ref="AL2:AV2"/>
    <mergeCell ref="C3:M3"/>
    <mergeCell ref="AA3:AK3"/>
    <mergeCell ref="N3:X3"/>
    <mergeCell ref="N2:X2"/>
    <mergeCell ref="C2:M2"/>
    <mergeCell ref="AA2:AK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80E5A4E7-327F-4971-A156-22B8C71977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A117C7-F4E0-445C-AE98-EC022BE6356C}">
  <ds:schemaRefs>
    <ds:schemaRef ds:uri="http://schemas.microsoft.com/sharepoint/v3/contenttype/forms"/>
  </ds:schemaRefs>
</ds:datastoreItem>
</file>

<file path=customXml/itemProps3.xml><?xml version="1.0" encoding="utf-8"?>
<ds:datastoreItem xmlns:ds="http://schemas.openxmlformats.org/officeDocument/2006/customXml" ds:itemID="{C6498945-CD4D-4E6B-ACFD-CDC75A61807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Info</vt:lpstr>
      <vt:lpstr>Data Summary</vt:lpstr>
      <vt:lpstr>PS</vt:lpstr>
      <vt:lpstr>Reference Source Info</vt:lpstr>
      <vt:lpstr>DQI</vt:lpstr>
      <vt:lpstr>Concrete Mix</vt:lpstr>
      <vt:lpstr>Plant Operations</vt:lpstr>
      <vt:lpstr>portland cement</vt:lpstr>
      <vt:lpstr>Aggregate</vt:lpstr>
      <vt:lpstr>Admixture</vt:lpstr>
      <vt:lpstr>Transport</vt:lpstr>
      <vt:lpstr>Concrete Name Translation</vt:lpstr>
      <vt:lpstr>Conversions</vt:lpstr>
      <vt:lpstr>Assumptions</vt:lpstr>
      <vt:lpstr>Chart</vt:lpstr>
      <vt:lpstr>GaBi 6 Import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Krynock, Michelle M. (CONTR)</dc:creator>
  <cp:lastModifiedBy>Krynock, Michelle M. (CONTR)</cp:lastModifiedBy>
  <dcterms:created xsi:type="dcterms:W3CDTF">2016-02-19T21:02:20Z</dcterms:created>
  <dcterms:modified xsi:type="dcterms:W3CDTF">2017-01-03T20:29:45Z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